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defaultThemeVersion="166925"/>
  <mc:AlternateContent xmlns:mc="http://schemas.openxmlformats.org/markup-compatibility/2006">
    <mc:Choice Requires="x15">
      <x15ac:absPath xmlns:x15ac="http://schemas.microsoft.com/office/spreadsheetml/2010/11/ac" url="C:\Users\teresavanepps\Downloads\"/>
    </mc:Choice>
  </mc:AlternateContent>
  <xr:revisionPtr revIDLastSave="0" documentId="8_{4067B722-95BA-42F8-B6EE-F823A17F5974}" xr6:coauthVersionLast="47" xr6:coauthVersionMax="47" xr10:uidLastSave="{00000000-0000-0000-0000-000000000000}"/>
  <workbookProtection workbookAlgorithmName="SHA-512" workbookHashValue="fejufB98KBcBW41Wplb7WRvpdDcgy9ex8w67AdsTJBG0buhTWRSRvhmhoHl0WsOhODo+zekUHPLQDIDnhau1eA==" workbookSaltValue="o8Cv02pfP2IhXYyb06VcNg==" workbookSpinCount="100000" lockStructure="1"/>
  <bookViews>
    <workbookView xWindow="-110" yWindow="-110" windowWidth="22780" windowHeight="14660" tabRatio="841" xr2:uid="{DACE56B8-2A19-41FB-907D-CBA901A60972}"/>
  </bookViews>
  <sheets>
    <sheet name="Introduction" sheetId="1" r:id="rId1"/>
    <sheet name="01 Integration" sheetId="14" r:id="rId2"/>
    <sheet name="02 Community" sheetId="3" r:id="rId3"/>
    <sheet name="03 Ecosystems" sheetId="4" r:id="rId4"/>
    <sheet name="04 Water" sheetId="18" r:id="rId5"/>
    <sheet name="05 Economy" sheetId="6" r:id="rId6"/>
    <sheet name="06 Energy" sheetId="7" r:id="rId7"/>
    <sheet name="07 Well-Being" sheetId="8" r:id="rId8"/>
    <sheet name="08 Resources" sheetId="9" r:id="rId9"/>
    <sheet name="09 Change" sheetId="10" r:id="rId10"/>
    <sheet name="10 Discovery" sheetId="11" r:id="rId11"/>
    <sheet name="AIA COTE Top 10 Award Summary" sheetId="12" r:id="rId12"/>
    <sheet name="Results" sheetId="13" state="hidden" r:id="rId13"/>
    <sheet name="Reference Tables" sheetId="2" r:id="rId14"/>
    <sheet name="Program Calcs" sheetId="16" r:id="rId15"/>
    <sheet name="Change Log" sheetId="17" state="hidden" r:id="rId16"/>
  </sheets>
  <definedNames>
    <definedName name="Annual_Days_of_Operation">Introduction!$H$53</definedName>
    <definedName name="Area_Additional_On_Site_Hardscape_Post_Development">'03 Ecosystems'!$F$14</definedName>
    <definedName name="Area_Additional_On_Site_Hardscape_Pre_Development">'03 Ecosystems'!$H$14</definedName>
    <definedName name="Area_Building">Introduction!$H$39</definedName>
    <definedName name="Area_Building_Footprint_Post_Development">'03 Ecosystems'!$F$11</definedName>
    <definedName name="Area_Building_Footprint_Pre_Development">'03 Ecosystems'!$H$11</definedName>
    <definedName name="Area_Conditioned">Introduction!$H$40</definedName>
    <definedName name="Area_Green_Roof_Post_Development">'03 Ecosystems'!$F$7</definedName>
    <definedName name="Area_Green_Roof_Pre_Development">'03 Ecosystems'!$H$7</definedName>
    <definedName name="Area_Hardscape_Total_Post_Development">'03 Ecosystems'!$F$16</definedName>
    <definedName name="Area_Hardscape_Total_Pre_Development">'03 Ecosystems'!$H$16</definedName>
    <definedName name="Area_Irrigated_Total">'04 Water'!$H$30</definedName>
    <definedName name="Area_Pervious_Pavement_Post_Development">'03 Ecosystems'!$F$13</definedName>
    <definedName name="Area_Pervious_Pavement_Pre_Development">'03 Ecosystems'!$H$13</definedName>
    <definedName name="Area_Reused">'08 Resources'!$F$14</definedName>
    <definedName name="Area_Site">Introduction!$H$43</definedName>
    <definedName name="Area_Softscape_Total_Post_Development">'03 Ecosystems'!$F$9</definedName>
    <definedName name="Area_Softscape_Total_Pre_Development">'03 Ecosystems'!$H$9</definedName>
    <definedName name="Area_Surface_Parking_Post_Development">'03 Ecosystems'!$F$12</definedName>
    <definedName name="Area_Surface_Parking_Pre_Development">'03 Ecosystems'!$H$12</definedName>
    <definedName name="Area_Unconditioned">Introduction!$H$41</definedName>
    <definedName name="Area_Vegetated_HQ_Post_Development">'03 Ecosystems'!$F$43</definedName>
    <definedName name="Area_Vegetated_HQ_Pre_Development">'03 Ecosystems'!$H$43</definedName>
    <definedName name="Area_Vegetated_LQ_Post_Development">'03 Ecosystems'!$F$33</definedName>
    <definedName name="Area_Vegetated_LQ_Pre_Development">'03 Ecosystems'!$H$33</definedName>
    <definedName name="Area_Vegetated_MQ_Post_Development">'03 Ecosystems'!$F$38</definedName>
    <definedName name="Area_Vegetated_MQ_Pre_Development">'03 Ecosystems'!$H$38</definedName>
    <definedName name="Area_Vegetated_Post_Development">'03 Ecosystems'!$F$8</definedName>
    <definedName name="Area_Vegetated_Pre_Development">'03 Ecosystems'!$H$8</definedName>
    <definedName name="Avg_Daily_Hours_Of_Operation">Introduction!$H$54</definedName>
    <definedName name="Backup_Power_Headers">'09 Change'!$J$28:$J$31</definedName>
    <definedName name="Backup_Power_Score">'09 Change'!$F$27</definedName>
    <definedName name="Backup_Power_Table">'09 Change'!$J$28:$K$31</definedName>
    <definedName name="Bike_Score">'02 Community'!$F$21</definedName>
    <definedName name="Biogenic_Carbon_Included_YN">'08 Resources'!$F$26</definedName>
    <definedName name="Building_Category_Column_Headers">'Reference Tables'!$T$15:$AE$15</definedName>
    <definedName name="Building_Category_Row_Headers">'Reference Tables'!$T$17:$T$36</definedName>
    <definedName name="Building_Category_Table">'Reference Tables'!$T$17:$AE$36</definedName>
    <definedName name="Building_Design_Lifespan">'09 Change'!$F$35</definedName>
    <definedName name="Building_Type_Column_Headers">'Reference Tables'!$D$15:$R$15</definedName>
    <definedName name="Building_Type_Headers">'Reference Tables'!$D$17:$D$59</definedName>
    <definedName name="Building_Type_Table">'Reference Tables'!$D$17:$R$59</definedName>
    <definedName name="Car_Fuel_Economy_Average_Benchmark">'02 Community'!$S$25</definedName>
    <definedName name="Carbon_Net_Measured">'06 Energy'!$M$101</definedName>
    <definedName name="Carbon_Net_Predicted">'06 Energy'!$N$101</definedName>
    <definedName name="Carbon_per_kBtu_Biomass">'Reference Tables'!$AH$18</definedName>
    <definedName name="Carbon_per_kBtu_District_Heat">'Reference Tables'!$AH$22</definedName>
    <definedName name="Carbon_per_kBtu_Electricity">'Reference Tables'!$AH$17</definedName>
    <definedName name="Carbon_per_kBtu_Gas">'Reference Tables'!$AH$19</definedName>
    <definedName name="Carbon_per_kBtu_Oil">'Reference Tables'!$AH$21</definedName>
    <definedName name="Carbon_per_mWh_Electricity_eGrid">Introduction!$P$21</definedName>
    <definedName name="Chilled_Water_Options">'Reference Tables'!$AG$23:$AG$26</definedName>
    <definedName name="City">Introduction!$H$10</definedName>
    <definedName name="Climate_Zone">Introduction!$H$15</definedName>
    <definedName name="CO2_Emitted_per_Gallon_Average_Benchmark">'02 Community'!$S$26</definedName>
    <definedName name="Commissioning_Score">'10 Discovery'!$F$11</definedName>
    <definedName name="Commuting_Days_Average_Benchmark">'02 Community'!$S$30</definedName>
    <definedName name="Construction_Cost_per_SF_Actual">Introduction!$H$24</definedName>
    <definedName name="Construction_Cost_per_SF_Benchmark">'05 Economy'!$F$6</definedName>
    <definedName name="Construction_Cost_Percent_Reduction">'05 Economy'!$F$8</definedName>
    <definedName name="Construction_Cost_Total">Introduction!$H$23</definedName>
    <definedName name="Conversion_to_kBtu_Options">'06 Energy'!$R$17:$R$32</definedName>
    <definedName name="Conversion_to_kBtu_Table">'06 Energy'!$R$17:$S$32</definedName>
    <definedName name="Cooling_Tower_Water_Use">'04 Water'!$H$58</definedName>
    <definedName name="Cooling_Tower_Water_Use_Total">'04 Water'!$H$63</definedName>
    <definedName name="Count_Avoided_Chemicals_of_Concern">'07 Well-Being'!#REF!</definedName>
    <definedName name="Count_Materials_with_Health_Certifications">'07 Well-Being'!$F$87</definedName>
    <definedName name="Daylight_Area_ASE">'07 Well-Being'!$F$13</definedName>
    <definedName name="Daylight_Area_sDA">'07 Well-Being'!$F$12</definedName>
    <definedName name="Efficiency_Ratio_Achieved">'05 Economy'!$F$25</definedName>
    <definedName name="Efficiency_Ratio_Percent_Improvement">'05 Economy'!$F$26</definedName>
    <definedName name="Embodied_Carbon_Intensity_Proposed">'08 Resources'!$F$51</definedName>
    <definedName name="Embodied_Carbon_Total_Proposed">'08 Resources'!$F$50</definedName>
    <definedName name="Energy_Consumption_Annual_Total_Measured">'06 Energy'!$G$91</definedName>
    <definedName name="Energy_Consumption_Annual_Total_Predicted">'06 Energy'!$H$91</definedName>
    <definedName name="Energy_Net_Measured">'06 Energy'!$G$101</definedName>
    <definedName name="Energy_Offsite_Generation_Annual_Total_Measured">'06 Energy'!$G$98</definedName>
    <definedName name="Energy_Offsite_Generation_Annual_Total_Predicted">'06 Energy'!$H$98</definedName>
    <definedName name="Energy_Onsite_Generation_Annual_Total_Measured">'06 Energy'!$G$97</definedName>
    <definedName name="Energy_Onsite_Generation_Annual_Total_Predicted">'06 Energy'!$H$97</definedName>
    <definedName name="Energy_Production_Annual_Total_Measured">'06 Energy'!$G$99</definedName>
    <definedName name="Energy_Production_Annual_Total_Predicted">'06 Energy'!$H$99</definedName>
    <definedName name="Energy_Use_Annual_Net_Total_Measured">'06 Energy'!$H$90</definedName>
    <definedName name="Energy_Use_Annual_Net_Total_Predicted">'06 Energy'!$G$90</definedName>
    <definedName name="Energy_Use_Annual_Total_Benchmark">Introduction!$P$15</definedName>
    <definedName name="Energy_Use_Annual_Total_Benchmark_Residential">Introduction!#REF!</definedName>
    <definedName name="EUI_Benchmark">'Program Calcs'!$F$6</definedName>
    <definedName name="EUI_Benchmark_Calculated">'Program Calcs'!$F$8</definedName>
    <definedName name="EUI_Benchmark_User_Defined">Introduction!$P$17</definedName>
    <definedName name="EUI_Gross_Measured">'06 Energy'!$H$91</definedName>
    <definedName name="EUI_Gross_Predicted">'06 Energy'!$G$91</definedName>
    <definedName name="EUI_Net_Predicted">'06 Energy'!$H$101</definedName>
    <definedName name="Even_passive_occupants_are_presented_with_performance_feedback">'10 Discovery'!$E$46</definedName>
    <definedName name="Feedback_Headers">'10 Discovery'!$J$44:$J$49</definedName>
    <definedName name="Feedback_Score">'10 Discovery'!$F$48</definedName>
    <definedName name="Feedback_Selected">'10 Discovery'!$E$46</definedName>
    <definedName name="Feedback_Table">'10 Discovery'!$J$44:$K$49</definedName>
    <definedName name="Fixture_Usage_Column_Headers">'Reference Tables'!$AS$15:$AX$15</definedName>
    <definedName name="Fixture_Usage_Headers">'Reference Tables'!$AS$17:$AS$20</definedName>
    <definedName name="Fixture_Usage_Table">'Reference Tables'!$AS$17:$AX$20</definedName>
    <definedName name="Fuel_Source_Carbon_Headers">'Reference Tables'!$AG$17:$AG$27</definedName>
    <definedName name="Fuel_Source_Carbon_Table">'Reference Tables'!$AG$17:$AH$27</definedName>
    <definedName name="Grid_Electricity_Options">'06 Energy'!$R$17,'06 Energy'!$R$20</definedName>
    <definedName name="Hazard_Research_Score">'09 Change'!$F$18</definedName>
    <definedName name="Indoor_Water_Use_Predicted_Annual_Total">'04 Water'!$L$20</definedName>
    <definedName name="Indoor_Water_Use_Predicted_Daily_Total">'04 Water'!$K$20</definedName>
    <definedName name="Irrigation_Baseline_Monthly">'04 Water'!$H$34</definedName>
    <definedName name="Irrigation_LWA_Annual">'04 Water'!$H$37</definedName>
    <definedName name="Irrigation_LWA_Monthly">'04 Water'!$H$36</definedName>
    <definedName name="Irrigation_LWR_Annual">'04 Water'!$M$50</definedName>
    <definedName name="Irrigation_LWR_Monthly">'04 Water'!$L$50</definedName>
    <definedName name="Irrigation_Type_Headers">'04 Water'!$Q$39:$Q$44</definedName>
    <definedName name="Irrigation_Type_Table">'04 Water'!$Q$39:$R$44</definedName>
    <definedName name="kg_per_sm_to_kg_per_sf">'08 Resources'!$U$30</definedName>
    <definedName name="LPD_Benchmark">'Program Calcs'!$E$6</definedName>
    <definedName name="LPD_Benchmark_Calculated">'Program Calcs'!$E$8</definedName>
    <definedName name="LPD_Benchmark_User_Defined">Introduction!$P$29</definedName>
    <definedName name="LPD_Installed">'06 Energy'!$F$114</definedName>
    <definedName name="LPD_Reduction">'06 Energy'!$F$116</definedName>
    <definedName name="Material_Cost_Recycled">'08 Resources'!$F$88</definedName>
    <definedName name="Material_Cost_Regional">'08 Resources'!#REF!</definedName>
    <definedName name="Materials_Cost_Total">'08 Resources'!$F$85</definedName>
    <definedName name="Maximum_Measured_CO2_PPM">'07 Well-Being'!$F$62</definedName>
    <definedName name="Maximum_Measured_VOC_PPB">'07 Well-Being'!$F$72</definedName>
    <definedName name="Number_of_Materials_with_EPDs">'08 Resources'!#REF!</definedName>
    <definedName name="Occupancy_Daily_Avg">Introduction!$H$49</definedName>
    <definedName name="Occupancy_FTE">Introduction!$H$50</definedName>
    <definedName name="Off_Site_Procurement_Factor_Options">'06 Energy'!$U$34:$U$37</definedName>
    <definedName name="Off_Site_Procurement_Factor_Table">'06 Energy'!$U$33:$V$37</definedName>
    <definedName name="One_Way_Commute_Average_Benchmark">'02 Community'!$S$27</definedName>
    <definedName name="Operational_Carbon_Annual_Total_Benchmark">Introduction!$P$22</definedName>
    <definedName name="Operational_Carbon_Annual_Total_Benchmark_Residential">Introduction!#REF!</definedName>
    <definedName name="Operational_Carbon_Annual_Total_Measured">'06 Energy'!$M$91</definedName>
    <definedName name="Operational_Carbon_Annual_Total_Predicted">'06 Energy'!$N$91</definedName>
    <definedName name="Operational_Carbon_Annual_Total_wRenewables_Measured">'06 Energy'!$M$99</definedName>
    <definedName name="Operational_Carbon_Annual_Total_wRenewables_Predicted">'06 Energy'!$N$99</definedName>
    <definedName name="Operational_Carbon_Intensity_Benchmark">'Program Calcs'!$G$6</definedName>
    <definedName name="Operational_Carbon_Intensity_Benchmark_Calculated">'Program Calcs'!$G$8</definedName>
    <definedName name="Operational_Carbon_Intensity_Benchmark_User_Defined">Introduction!$P$24</definedName>
    <definedName name="Operational_Carbon_Intensity_Measured">'06 Energy'!$M$93</definedName>
    <definedName name="Operational_Carbon_Intensity_Predicted">'06 Energy'!$N$93</definedName>
    <definedName name="Operational_Carbon_Percent_Reduction_Measured">'06 Energy'!$M$105</definedName>
    <definedName name="Operational_Carbon_Percent_Reduction_Predicted">'06 Energy'!$N$105</definedName>
    <definedName name="Operational_Carbon_Percent_Reduction_wRenewables_Measured">'06 Energy'!$M$104</definedName>
    <definedName name="Operational_Carbon_Percent_Reduction_wRenewables_Predicted">'06 Energy'!$N$104</definedName>
    <definedName name="Passive_Functionality_Headers">'09 Change'!$J$22:$J$25</definedName>
    <definedName name="Passive_Functionality_Score">'09 Change'!$F$24</definedName>
    <definedName name="Passive_Functionality_Table">'09 Change'!$J$22:$K$25</definedName>
    <definedName name="Percent_Building_Area_Reused">'08 Resources'!$F$15</definedName>
    <definedName name="Percent_Building_Cooled_By_Chiller">'04 Water'!$H$57</definedName>
    <definedName name="Percent_Construction_Waste_Diverted">'08 Resources'!$F$77</definedName>
    <definedName name="Percent_Demand_from_Rainwater_Measured">'04 Water'!$M$83</definedName>
    <definedName name="Percent_Demand_from_Rainwater_Predicted">'04 Water'!$H$83</definedName>
    <definedName name="Percent_Demand_from_Reclaimed_Measured">'04 Water'!$N$83</definedName>
    <definedName name="Percent_Demand_from_Reclaimed_Predicted">'04 Water'!$I$83:$J$83</definedName>
    <definedName name="Percent_Material_Cost_Biobased">'08 Resources'!$F$104</definedName>
    <definedName name="Percent_Material_Cost_Recycled">'08 Resources'!$F$92</definedName>
    <definedName name="Percent_Material_Cost_Regional">'08 Resources'!$F$96</definedName>
    <definedName name="Percent_Material_Cost_Reused">'08 Resources'!$F$100</definedName>
    <definedName name="Percent_Potable_Water_Reduction_Measured">'04 Water'!$K$93</definedName>
    <definedName name="Percent_Potable_Water_Reduction_Predicted">'04 Water'!$K$92</definedName>
    <definedName name="Percent_Reduction_Energy_Measured">'06 Energy'!$G$109</definedName>
    <definedName name="Percent_Reduction_Energy_Predicted">'06 Energy'!$H$109</definedName>
    <definedName name="Percent_Reduction_Energy_wRenewables_Measured">'06 Energy'!$G$108</definedName>
    <definedName name="Percent_Reduction_Energy_wRenewables_Predicted">'06 Energy'!$H$108</definedName>
    <definedName name="Percent_Reduction_Transportation_Carbon">'02 Community'!$F$38</definedName>
    <definedName name="Percent_Regularly_Occupied_Space_ASE_Compliant">'07 Well-Being'!$F$16</definedName>
    <definedName name="Percent_Regularly_Occupied_Space_sDA_Compliant">'07 Well-Being'!$F$15</definedName>
    <definedName name="Percent_Regularly_Occupied_Space_with_Quality_Views">'07 Well-Being'!$F$20</definedName>
    <definedName name="Percent_Stormwater_Managed_Onsite">'04 Water'!$H$115</definedName>
    <definedName name="Percent_Total_Energy_from_Off_Site_Measured">'06 Energy'!$G$105</definedName>
    <definedName name="Percent_Total_Energy_from_Off_Site_Predicted">'06 Energy'!$H$105</definedName>
    <definedName name="Percent_Total_Energy_from_On_Site_Measured">'06 Energy'!$G$104</definedName>
    <definedName name="Percent_Total_Energy_from_On_Site_Predicted">'06 Energy'!$H$104</definedName>
    <definedName name="Percent_Vegetated_Increase">'03 Ecosystems'!$F$22</definedName>
    <definedName name="Percent_Vegetated_Post_Development">'03 Ecosystems'!$F$21</definedName>
    <definedName name="Percent_Vegetated_Pre_Development">'03 Ecosystems'!$H$21</definedName>
    <definedName name="Percent_Wood_FSC">'08 Resources'!$F$108</definedName>
    <definedName name="Plant_Type_Table">'04 Water'!$Q$29:$T$33</definedName>
    <definedName name="Plant_Type_Table_Columns">'04 Water'!$Q$28:$T$28</definedName>
    <definedName name="Plant_Type_Table_Headers">'04 Water'!$Q$29:$Q$33</definedName>
    <definedName name="Post_Occupancy_Evaluation_Score">'10 Discovery'!$F$24</definedName>
    <definedName name="_xlnm.Print_Area" localSheetId="11">'AIA COTE Top 10 Award Summary'!$B$4:$F$87</definedName>
    <definedName name="_xlnm.Print_Titles" localSheetId="11">'AIA COTE Top 10 Award Summary'!$4:$6</definedName>
    <definedName name="Program_Breakdown_Table">Introduction!$H$30:$J$37</definedName>
    <definedName name="Project_Address">Introduction!$H$7</definedName>
    <definedName name="Project_Name">Introduction!$H$6</definedName>
    <definedName name="Rainfall_Average">'04 Water'!$H$33</definedName>
    <definedName name="Rainwater_Storage_Volume">'04 Water'!$H$101</definedName>
    <definedName name="Region">'Reference Tables'!$AQ$16</definedName>
    <definedName name="Region_Energy_Use_Headers">'Reference Tables'!$AL$17:$AL$30</definedName>
    <definedName name="Region_Energy_Use_Table">'Reference Tables'!$AM$17:$AM$30</definedName>
    <definedName name="Regularly_Occupied_Space">Introduction!$H$42</definedName>
    <definedName name="Residential_Energy_Use_Total_Benchmark">'Reference Tables'!$AM$16</definedName>
    <definedName name="Residential_EUI_Benchmark">'Reference Tables'!$AN$16</definedName>
    <definedName name="Resiliency_Score">'09 Change'!$F$29</definedName>
    <definedName name="Runoff_Quality_Score">'04 Water'!$H$122</definedName>
    <definedName name="Runoff_Type_Headers">'04 Water'!$Q$119:$Q$123</definedName>
    <definedName name="Runoff_Type_Table">'04 Water'!$Q$119:$R$123</definedName>
    <definedName name="Single_Occupancy_Commute_Share_Benchmark">'02 Community'!$S$29</definedName>
    <definedName name="Site_Environment">Introduction!$H$19</definedName>
    <definedName name="State">Introduction!$H$11</definedName>
    <definedName name="State_Region_Headers">'Reference Tables'!$AP$17:$AP$67</definedName>
    <definedName name="State_Region_Table">'Reference Tables'!$AP$17:$AQ$67</definedName>
    <definedName name="Storm_Event_Feet">'04 Water'!$H$100</definedName>
    <definedName name="Stormwater_Event_Total">'04 Water'!$K$113</definedName>
    <definedName name="Stormwater_Runoff_Net_Total">'04 Water'!$L$114</definedName>
    <definedName name="Stormwater_Runoff_Total">'04 Water'!$L$113</definedName>
    <definedName name="Structural_System_Headers">'08 Resources'!$J$39:$J$45</definedName>
    <definedName name="Summer_Evapotranspiration_Rate">'04 Water'!$H$32</definedName>
    <definedName name="Total_Carbon_10YR">Results!$N$31</definedName>
    <definedName name="Total_Cost_of_Electricity_On_Site_Renewable_Measured">'06 Energy'!$M$50</definedName>
    <definedName name="Transit_Score">'02 Community'!$F$20</definedName>
    <definedName name="Transparency_Score">'10 Discovery'!$F$40</definedName>
    <definedName name="Transport_CO2_Annual_Total_Benchmark">Introduction!$P$5</definedName>
    <definedName name="Transport_CO2_Annual_Total_Proposed">'02 Community'!$F$36</definedName>
    <definedName name="Transport_CO2_per_Occupant_Year_Benchmark">'02 Community'!$G$35</definedName>
    <definedName name="Transport_CO2_per_Occupant_Year_Proposed">'02 Community'!$F$35</definedName>
    <definedName name="Unit_Cost_of_Biomass_Measured">'06 Energy'!$K$26</definedName>
    <definedName name="Unit_Cost_of_CW_Measured">'06 Energy'!$I$26</definedName>
    <definedName name="Unit_Cost_of_Electricity_Measured">'06 Energy'!$G$26</definedName>
    <definedName name="Unit_Cost_of_Electricity_On_Site_Renewable_Measured">'06 Energy'!$M$26</definedName>
    <definedName name="Unit_Cost_of_Natl_Gas_Measured">'06 Energy'!$H$26</definedName>
    <definedName name="Unit_Cost_of_Steam_Measured">'06 Energy'!$J$26</definedName>
    <definedName name="Vegetation_Score_Post_Developement">'03 Ecosystems'!$F$47</definedName>
    <definedName name="Vegetation_Score_Pre_Developement">'03 Ecosystems'!$H$47</definedName>
    <definedName name="View_Area">'07 Well-Being'!$F$19</definedName>
    <definedName name="Walk_Score">'02 Community'!$F$19</definedName>
    <definedName name="Water_Demand_Annual_Total_Measured">'04 Water'!$K$82</definedName>
    <definedName name="Water_Demand_Annual_Total_Predicted">'04 Water'!$F$82</definedName>
    <definedName name="Water_Minutes_per_Occupant_Day_Kitchen_Faucet">'Program Calcs'!$M$8</definedName>
    <definedName name="Water_Minutes_per_Occupant_Day_Lavatory">'Program Calcs'!$L$8</definedName>
    <definedName name="Water_Minutes_per_Occupant_Day_Shower">'Program Calcs'!$K$8</definedName>
    <definedName name="Water_Potable_Annual_per_Occupant_Measured">'04 Water'!$G$93</definedName>
    <definedName name="Water_Potable_Annual_per_Occupant_Predicted">'04 Water'!$G$92</definedName>
    <definedName name="Water_Potable_Annual_Total_Measured">'04 Water'!$L$82</definedName>
    <definedName name="Water_Potable_Annual_Total_Predicted">'04 Water'!$G$82</definedName>
    <definedName name="Water_Potable_Used_for_Irrigation_YN">'04 Water'!$H$28</definedName>
    <definedName name="Water_Rain_Annual_Total_Measured">'04 Water'!$M$82</definedName>
    <definedName name="Water_Rain_Annual_Total_Predicted">'04 Water'!$H$82</definedName>
    <definedName name="Water_Reclaimed_Annual_Total_Measured">'04 Water'!$N$82</definedName>
    <definedName name="Water_Reclaimed_Annual_Total_Predicted">'04 Water'!$I$82:$J$82</definedName>
    <definedName name="Water_Use_Intensity_Benchmark">'Program Calcs'!$H$6</definedName>
    <definedName name="Water_Use_Intensity_Benchmark_Calculated">'Program Calcs'!$H$8</definedName>
    <definedName name="Water_Use_Intensity_Benchmark_User_Defined">Introduction!$P$11</definedName>
    <definedName name="Water_Use_Intensity_Measured">'04 Water'!$H$93</definedName>
    <definedName name="Water_Use_Intensity_Predicted">'04 Water'!$H$92</definedName>
    <definedName name="Water_Use_Per_Occupant_Benchmark">Introduction!$P$12</definedName>
    <definedName name="Water_Use_Total_Benchmark">Introduction!$P$9</definedName>
    <definedName name="Water_Uses_per_Occupant_Day_Toilet">'Program Calcs'!$I$8</definedName>
    <definedName name="Water_Uses_per_Occupant_Day_Urinal">'Program Calcs'!$J$8</definedName>
    <definedName name="WWR_Aggregate">'06 Energy'!$L$117</definedName>
    <definedName name="Zip_Code">Introduction!$H$13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 i="12" l="1"/>
  <c r="C10" i="12"/>
  <c r="O43" i="7"/>
  <c r="F11" i="3"/>
  <c r="H16" i="4"/>
  <c r="H18" i="4" s="1"/>
  <c r="F16" i="4"/>
  <c r="F18" i="4" s="1"/>
  <c r="I45" i="4" l="1"/>
  <c r="F73" i="4"/>
  <c r="H73" i="4"/>
  <c r="H9" i="4"/>
  <c r="F9" i="4"/>
  <c r="D71" i="12"/>
  <c r="F11" i="11"/>
  <c r="V17" i="7"/>
  <c r="U17" i="7"/>
  <c r="H80" i="7"/>
  <c r="I80" i="7"/>
  <c r="J80" i="7"/>
  <c r="K80" i="7"/>
  <c r="G80" i="7"/>
  <c r="G47" i="7"/>
  <c r="H47" i="7"/>
  <c r="J47" i="7"/>
  <c r="K47" i="7"/>
  <c r="I47" i="7"/>
  <c r="L23" i="9"/>
  <c r="D22" i="12"/>
  <c r="F35" i="8" a="1"/>
  <c r="F35" i="8" s="1"/>
  <c r="F28" i="8"/>
  <c r="H44" i="4" l="1"/>
  <c r="H21" i="4"/>
  <c r="F44" i="4"/>
  <c r="F21" i="4"/>
  <c r="G45" i="4"/>
  <c r="U30" i="7"/>
  <c r="I104" i="18"/>
  <c r="E82" i="13"/>
  <c r="E74" i="13"/>
  <c r="F29" i="10"/>
  <c r="F108" i="9"/>
  <c r="F104" i="9"/>
  <c r="F100" i="9"/>
  <c r="F96" i="9"/>
  <c r="F92" i="9"/>
  <c r="F16" i="8"/>
  <c r="F15" i="8"/>
  <c r="F20" i="8"/>
  <c r="F68" i="8"/>
  <c r="F26" i="6"/>
  <c r="H122" i="18"/>
  <c r="L83" i="18"/>
  <c r="F52" i="4"/>
  <c r="E66" i="13" l="1"/>
  <c r="E54" i="13"/>
  <c r="B27" i="13"/>
  <c r="B26" i="13"/>
  <c r="E19" i="13"/>
  <c r="E10" i="13"/>
  <c r="E9" i="13"/>
  <c r="E8" i="13"/>
  <c r="B20" i="13"/>
  <c r="B82" i="13"/>
  <c r="B81" i="13"/>
  <c r="B80" i="13"/>
  <c r="B79" i="13"/>
  <c r="B76" i="13"/>
  <c r="B75" i="13"/>
  <c r="B74" i="13"/>
  <c r="B71" i="13"/>
  <c r="B70" i="13"/>
  <c r="B69" i="13"/>
  <c r="B68" i="13"/>
  <c r="B67" i="13"/>
  <c r="B66" i="13"/>
  <c r="B65" i="13"/>
  <c r="B64" i="13"/>
  <c r="B63" i="13"/>
  <c r="B62" i="13"/>
  <c r="B61" i="13"/>
  <c r="B60" i="13"/>
  <c r="B55" i="13"/>
  <c r="B54" i="13"/>
  <c r="B53" i="13"/>
  <c r="B52" i="13"/>
  <c r="B51" i="13"/>
  <c r="B50" i="13"/>
  <c r="B47" i="13"/>
  <c r="B46" i="13"/>
  <c r="B45" i="13"/>
  <c r="B44" i="13"/>
  <c r="B43" i="13"/>
  <c r="B42" i="13"/>
  <c r="B41" i="13"/>
  <c r="B40" i="13"/>
  <c r="B39" i="13"/>
  <c r="B38" i="13"/>
  <c r="B37" i="13"/>
  <c r="B34" i="13"/>
  <c r="B33" i="13"/>
  <c r="B30" i="13"/>
  <c r="B29" i="13"/>
  <c r="B28" i="13"/>
  <c r="B23" i="13"/>
  <c r="B22" i="13"/>
  <c r="B21" i="13"/>
  <c r="B19" i="13"/>
  <c r="B18" i="13"/>
  <c r="B17" i="13"/>
  <c r="B16" i="13"/>
  <c r="B15" i="13"/>
  <c r="B14" i="13"/>
  <c r="B11" i="13"/>
  <c r="B6" i="13"/>
  <c r="B7" i="13"/>
  <c r="B9" i="13"/>
  <c r="B10" i="13"/>
  <c r="B8" i="13"/>
  <c r="C69" i="12"/>
  <c r="C61" i="12"/>
  <c r="D56" i="12"/>
  <c r="C59" i="12"/>
  <c r="C58" i="12"/>
  <c r="C57" i="12"/>
  <c r="C56" i="12"/>
  <c r="B41" i="12"/>
  <c r="D43" i="12" a="1"/>
  <c r="D43" i="12" s="1"/>
  <c r="D42" i="12" a="1"/>
  <c r="D42" i="12" s="1"/>
  <c r="C23" i="12"/>
  <c r="C22" i="12"/>
  <c r="B21" i="12"/>
  <c r="I44" i="4"/>
  <c r="G44" i="4"/>
  <c r="B9" i="12"/>
  <c r="B7" i="12"/>
  <c r="F40" i="11"/>
  <c r="E81" i="13" s="1"/>
  <c r="E79" i="13"/>
  <c r="F39" i="8"/>
  <c r="F40" i="8" s="1"/>
  <c r="D61" i="12" l="1"/>
  <c r="E53" i="13"/>
  <c r="N76" i="7"/>
  <c r="N83" i="7" s="1"/>
  <c r="N77" i="7"/>
  <c r="M77" i="7"/>
  <c r="M76" i="7"/>
  <c r="H76" i="7"/>
  <c r="H83" i="7" s="1"/>
  <c r="I76" i="7"/>
  <c r="J76" i="7"/>
  <c r="K76" i="7"/>
  <c r="H77" i="7"/>
  <c r="I77" i="7"/>
  <c r="J77" i="7"/>
  <c r="K77" i="7"/>
  <c r="N78" i="7" l="1"/>
  <c r="H78" i="7"/>
  <c r="J78" i="7"/>
  <c r="I78" i="7"/>
  <c r="K78" i="7"/>
  <c r="M78" i="7"/>
  <c r="K83" i="7"/>
  <c r="J83" i="7"/>
  <c r="M83" i="7"/>
  <c r="I83" i="7"/>
  <c r="M6" i="7"/>
  <c r="O50" i="7"/>
  <c r="E9" i="9"/>
  <c r="E8" i="9"/>
  <c r="E7" i="9"/>
  <c r="G77" i="7"/>
  <c r="M44" i="7"/>
  <c r="N44" i="7"/>
  <c r="O44" i="7"/>
  <c r="H44" i="7"/>
  <c r="I44" i="7"/>
  <c r="J44" i="7"/>
  <c r="K44" i="7"/>
  <c r="G44" i="7"/>
  <c r="O45" i="7" l="1"/>
  <c r="AH17" i="2" l="1"/>
  <c r="N80" i="7" l="1"/>
  <c r="N6" i="7"/>
  <c r="M47" i="7"/>
  <c r="O47" i="7"/>
  <c r="O48" i="7" s="1"/>
  <c r="M98" i="7" s="1"/>
  <c r="N47" i="7"/>
  <c r="M80" i="7"/>
  <c r="M81" i="7" s="1"/>
  <c r="N97" i="7" s="1"/>
  <c r="H98" i="7"/>
  <c r="G76" i="7"/>
  <c r="G98" i="7"/>
  <c r="N43" i="7"/>
  <c r="M43" i="7"/>
  <c r="K43" i="7"/>
  <c r="J43" i="7"/>
  <c r="I43" i="7"/>
  <c r="H43" i="7"/>
  <c r="G43" i="7"/>
  <c r="N81" i="7" l="1"/>
  <c r="N98" i="7" s="1"/>
  <c r="N99" i="7" s="1"/>
  <c r="M108" i="7"/>
  <c r="G50" i="7"/>
  <c r="G83" i="7"/>
  <c r="G78" i="7"/>
  <c r="H97" i="7"/>
  <c r="N45" i="7"/>
  <c r="N50" i="7"/>
  <c r="M45" i="7"/>
  <c r="M50" i="7"/>
  <c r="J45" i="7"/>
  <c r="J50" i="7"/>
  <c r="K45" i="7"/>
  <c r="K50" i="7"/>
  <c r="H45" i="7"/>
  <c r="H50" i="7"/>
  <c r="I45" i="7"/>
  <c r="I50" i="7"/>
  <c r="N108" i="7"/>
  <c r="G45" i="7"/>
  <c r="G48" i="7" s="1"/>
  <c r="I109" i="18"/>
  <c r="I105" i="18"/>
  <c r="H43" i="4"/>
  <c r="F43" i="4"/>
  <c r="H38" i="4"/>
  <c r="F38" i="4"/>
  <c r="H33" i="4"/>
  <c r="H47" i="4" s="1"/>
  <c r="F33" i="4"/>
  <c r="F47" i="4" s="1"/>
  <c r="H99" i="7" l="1"/>
  <c r="M48" i="7"/>
  <c r="M97" i="7" s="1"/>
  <c r="M99" i="7" s="1"/>
  <c r="G89" i="7" a="1"/>
  <c r="G89" i="7" s="1"/>
  <c r="F45" i="4"/>
  <c r="H45" i="4"/>
  <c r="I107" i="18"/>
  <c r="H90" i="7"/>
  <c r="H89" i="7"/>
  <c r="G97" i="7"/>
  <c r="N48" i="7"/>
  <c r="G90" i="7"/>
  <c r="H46" i="4"/>
  <c r="F46" i="4"/>
  <c r="I108" i="18"/>
  <c r="F27" i="10"/>
  <c r="G99" i="7" l="1"/>
  <c r="G91" i="7"/>
  <c r="M89" i="7"/>
  <c r="H91" i="7"/>
  <c r="H101" i="7" s="1"/>
  <c r="U113" i="7"/>
  <c r="U20" i="7"/>
  <c r="U21" i="7"/>
  <c r="U22" i="7"/>
  <c r="U23" i="7"/>
  <c r="U24" i="7"/>
  <c r="U25" i="7"/>
  <c r="U26" i="7"/>
  <c r="U19" i="7"/>
  <c r="AH18" i="2"/>
  <c r="K81" i="7" l="1"/>
  <c r="K48" i="7"/>
  <c r="V19" i="7"/>
  <c r="H105" i="7"/>
  <c r="E44" i="13" s="1"/>
  <c r="H104" i="7"/>
  <c r="G101" i="7"/>
  <c r="G105" i="7"/>
  <c r="G104" i="7"/>
  <c r="H72" i="4"/>
  <c r="H75" i="4" s="1"/>
  <c r="F72" i="4"/>
  <c r="F75" i="4" s="1"/>
  <c r="D4" i="16"/>
  <c r="H39" i="1"/>
  <c r="G93" i="7" s="1"/>
  <c r="E21" i="13" l="1"/>
  <c r="F61" i="4"/>
  <c r="F63" i="4" s="1"/>
  <c r="F51" i="9"/>
  <c r="F15" i="9"/>
  <c r="H93" i="7"/>
  <c r="H93" i="18"/>
  <c r="D46" i="12"/>
  <c r="E43" i="13"/>
  <c r="D47" i="12"/>
  <c r="G16" i="6"/>
  <c r="G14" i="6"/>
  <c r="G15" i="6"/>
  <c r="K31" i="1"/>
  <c r="D10" i="16" s="1"/>
  <c r="E22" i="13"/>
  <c r="K34" i="1"/>
  <c r="D13" i="16" s="1"/>
  <c r="K33" i="1"/>
  <c r="D12" i="16" s="1"/>
  <c r="K32" i="1"/>
  <c r="D11" i="16" s="1"/>
  <c r="K37" i="1"/>
  <c r="D16" i="16" s="1"/>
  <c r="K30" i="1"/>
  <c r="D9" i="16" s="1"/>
  <c r="K36" i="1"/>
  <c r="D15" i="16" s="1"/>
  <c r="K35" i="1"/>
  <c r="D14" i="16" s="1"/>
  <c r="G19" i="6" l="1"/>
  <c r="D23" i="12"/>
  <c r="E20" i="13"/>
  <c r="F77" i="4"/>
  <c r="E23" i="13" s="1"/>
  <c r="F6" i="3" l="1"/>
  <c r="R17" i="3"/>
  <c r="M30" i="13" l="1"/>
  <c r="M31" i="13"/>
  <c r="F18" i="10"/>
  <c r="F24" i="11"/>
  <c r="E80" i="13" s="1"/>
  <c r="F72" i="9"/>
  <c r="E65" i="13" s="1"/>
  <c r="W106" i="18"/>
  <c r="M32" i="13" l="1"/>
  <c r="M33" i="13"/>
  <c r="M34" i="13"/>
  <c r="J42" i="13"/>
  <c r="J34" i="13"/>
  <c r="E62" i="13" l="1"/>
  <c r="E61" i="13"/>
  <c r="E57" i="13"/>
  <c r="F87" i="8"/>
  <c r="E56" i="13" s="1"/>
  <c r="E55" i="13"/>
  <c r="A78" i="13" l="1"/>
  <c r="A73" i="13"/>
  <c r="A59" i="13"/>
  <c r="A49" i="13"/>
  <c r="A36" i="13"/>
  <c r="A32" i="13"/>
  <c r="A25" i="13"/>
  <c r="A13" i="13"/>
  <c r="A5" i="13"/>
  <c r="B34" i="12"/>
  <c r="B39" i="12"/>
  <c r="B53" i="12"/>
  <c r="B66" i="12"/>
  <c r="B77" i="12"/>
  <c r="B84" i="12"/>
  <c r="B25" i="12"/>
  <c r="B12" i="12"/>
  <c r="B86" i="12"/>
  <c r="B81" i="12"/>
  <c r="B79" i="12"/>
  <c r="B74" i="12"/>
  <c r="B72" i="12"/>
  <c r="B70" i="12"/>
  <c r="B68" i="12"/>
  <c r="D64" i="12"/>
  <c r="B62" i="12"/>
  <c r="B60" i="12"/>
  <c r="B55" i="12"/>
  <c r="D63" i="12"/>
  <c r="B44" i="12"/>
  <c r="B36" i="12"/>
  <c r="B27" i="12"/>
  <c r="B18" i="12"/>
  <c r="B14" i="12"/>
  <c r="C16" i="16"/>
  <c r="B16" i="16"/>
  <c r="C15" i="16"/>
  <c r="B15" i="16"/>
  <c r="C14" i="16"/>
  <c r="B14" i="16"/>
  <c r="C13" i="16"/>
  <c r="B13" i="16"/>
  <c r="C12" i="16"/>
  <c r="B12" i="16"/>
  <c r="C11" i="16"/>
  <c r="B11" i="16"/>
  <c r="C10" i="16"/>
  <c r="B10" i="16"/>
  <c r="C9" i="16"/>
  <c r="B9" i="16"/>
  <c r="H7" i="16" a="1"/>
  <c r="H7" i="16" s="1"/>
  <c r="G7" i="16" a="1"/>
  <c r="G7" i="16" s="1"/>
  <c r="F7" i="16" a="1"/>
  <c r="F7" i="16" s="1"/>
  <c r="E7" i="16" a="1"/>
  <c r="E7" i="16" s="1"/>
  <c r="G4" i="16"/>
  <c r="F4" i="16"/>
  <c r="E4" i="16"/>
  <c r="E5" i="16" s="1"/>
  <c r="C4" i="16"/>
  <c r="I57" i="2"/>
  <c r="I56" i="2"/>
  <c r="I55" i="2"/>
  <c r="I54" i="2"/>
  <c r="I53" i="2"/>
  <c r="I52" i="2"/>
  <c r="I51" i="2"/>
  <c r="I50" i="2"/>
  <c r="I48" i="2"/>
  <c r="I47" i="2"/>
  <c r="I46" i="2"/>
  <c r="I45" i="2"/>
  <c r="I44" i="2"/>
  <c r="I43" i="2"/>
  <c r="I42" i="2"/>
  <c r="I41" i="2"/>
  <c r="I40" i="2"/>
  <c r="I39" i="2"/>
  <c r="I38" i="2"/>
  <c r="I37" i="2"/>
  <c r="I36" i="2"/>
  <c r="I35" i="2"/>
  <c r="AC34" i="2"/>
  <c r="AB34" i="2"/>
  <c r="I34" i="2"/>
  <c r="AC33" i="2"/>
  <c r="AB33" i="2"/>
  <c r="I33" i="2"/>
  <c r="AC32" i="2"/>
  <c r="AB32" i="2"/>
  <c r="I32" i="2"/>
  <c r="AC31" i="2"/>
  <c r="AB31" i="2"/>
  <c r="I31" i="2"/>
  <c r="AC30" i="2"/>
  <c r="AB30" i="2"/>
  <c r="I30" i="2"/>
  <c r="AC29" i="2"/>
  <c r="AB29" i="2"/>
  <c r="I29" i="2"/>
  <c r="AL28" i="2"/>
  <c r="AC28" i="2"/>
  <c r="AB28" i="2"/>
  <c r="I28" i="2"/>
  <c r="AL27" i="2"/>
  <c r="AC27" i="2"/>
  <c r="AB27" i="2"/>
  <c r="I27" i="2"/>
  <c r="AL26" i="2"/>
  <c r="AB26" i="2"/>
  <c r="I26" i="2"/>
  <c r="AL25" i="2"/>
  <c r="AC25" i="2"/>
  <c r="AB25" i="2"/>
  <c r="I25" i="2"/>
  <c r="AL24" i="2"/>
  <c r="AH25" i="2"/>
  <c r="V26" i="7" s="1"/>
  <c r="AC24" i="2"/>
  <c r="AB24" i="2"/>
  <c r="I24" i="2"/>
  <c r="AL23" i="2"/>
  <c r="AH24" i="2"/>
  <c r="AC23" i="2"/>
  <c r="AB23" i="2"/>
  <c r="I23" i="2"/>
  <c r="AL22" i="2"/>
  <c r="AH23" i="2"/>
  <c r="V24" i="7" s="1"/>
  <c r="AC22" i="2"/>
  <c r="AB22" i="2"/>
  <c r="I22" i="2"/>
  <c r="AL21" i="2"/>
  <c r="AH22" i="2"/>
  <c r="AC21" i="2"/>
  <c r="AB21" i="2"/>
  <c r="I21" i="2"/>
  <c r="AL20" i="2"/>
  <c r="AH21" i="2"/>
  <c r="AC20" i="2"/>
  <c r="AB20" i="2"/>
  <c r="I20" i="2"/>
  <c r="AL19" i="2"/>
  <c r="AH20" i="2"/>
  <c r="V21" i="7" s="1"/>
  <c r="AC19" i="2"/>
  <c r="AB19" i="2"/>
  <c r="I19" i="2"/>
  <c r="AL18" i="2"/>
  <c r="AH19" i="2"/>
  <c r="AC18" i="2"/>
  <c r="AB18" i="2"/>
  <c r="I18" i="2"/>
  <c r="AL17" i="2"/>
  <c r="AC17" i="2"/>
  <c r="AB17" i="2"/>
  <c r="I17" i="2"/>
  <c r="AP16" i="2"/>
  <c r="AQ16" i="2" s="1"/>
  <c r="AJ16" i="2" s="1"/>
  <c r="AK16" i="2"/>
  <c r="Z16" i="2"/>
  <c r="X16" i="2"/>
  <c r="W16" i="2"/>
  <c r="Q15" i="2"/>
  <c r="Q16" i="2" s="1"/>
  <c r="P15" i="2"/>
  <c r="P16" i="2" s="1"/>
  <c r="O15" i="2"/>
  <c r="O16" i="2" s="1"/>
  <c r="N15" i="2"/>
  <c r="N16" i="2" s="1"/>
  <c r="M15" i="2"/>
  <c r="M16" i="2" s="1"/>
  <c r="L15" i="2"/>
  <c r="H4" i="16" s="1"/>
  <c r="J15" i="2"/>
  <c r="J16" i="2" s="1"/>
  <c r="H15" i="2"/>
  <c r="D8" i="2"/>
  <c r="E76" i="13"/>
  <c r="C5" i="12"/>
  <c r="F48" i="11"/>
  <c r="F24" i="10"/>
  <c r="E71" i="13"/>
  <c r="E70" i="13"/>
  <c r="E69" i="13"/>
  <c r="E68" i="13"/>
  <c r="E67" i="13"/>
  <c r="F84" i="9"/>
  <c r="R75" i="9"/>
  <c r="R66" i="9"/>
  <c r="F63" i="9"/>
  <c r="E64" i="13" s="1"/>
  <c r="O45" i="9"/>
  <c r="M45" i="9"/>
  <c r="K45" i="9"/>
  <c r="O44" i="9"/>
  <c r="M44" i="9"/>
  <c r="K44" i="9"/>
  <c r="U30" i="9"/>
  <c r="P31" i="9" s="1"/>
  <c r="R21" i="9"/>
  <c r="P76" i="8"/>
  <c r="P75" i="8"/>
  <c r="E51" i="13"/>
  <c r="F6" i="8"/>
  <c r="U117" i="7"/>
  <c r="V18" i="7"/>
  <c r="U18" i="7"/>
  <c r="U16" i="7"/>
  <c r="U13" i="7"/>
  <c r="R13" i="7"/>
  <c r="U12" i="7"/>
  <c r="E34" i="13"/>
  <c r="N19" i="6"/>
  <c r="E30" i="13"/>
  <c r="I106" i="18"/>
  <c r="H100" i="18"/>
  <c r="N82" i="18"/>
  <c r="M82" i="18"/>
  <c r="L82" i="18"/>
  <c r="I82" i="18"/>
  <c r="H82" i="18"/>
  <c r="K81" i="18"/>
  <c r="K80" i="18"/>
  <c r="K79" i="18"/>
  <c r="K78" i="18"/>
  <c r="K77" i="18"/>
  <c r="K76" i="18"/>
  <c r="K75" i="18"/>
  <c r="K74" i="18"/>
  <c r="K73" i="18"/>
  <c r="K72" i="18"/>
  <c r="K71" i="18"/>
  <c r="K70" i="18"/>
  <c r="J62" i="18"/>
  <c r="J61" i="18"/>
  <c r="H58" i="18"/>
  <c r="W55" i="18"/>
  <c r="K48" i="18"/>
  <c r="I48" i="18"/>
  <c r="K47" i="18"/>
  <c r="I47" i="18"/>
  <c r="K46" i="18"/>
  <c r="I46" i="18"/>
  <c r="K45" i="18"/>
  <c r="I45" i="18"/>
  <c r="K44" i="18"/>
  <c r="I44" i="18"/>
  <c r="K43" i="18"/>
  <c r="I43" i="18"/>
  <c r="K42" i="18"/>
  <c r="I42" i="18"/>
  <c r="K41" i="18"/>
  <c r="I41" i="18"/>
  <c r="E50" i="18"/>
  <c r="H34" i="18"/>
  <c r="H36" i="18" s="1"/>
  <c r="H37" i="18" s="1"/>
  <c r="L51" i="18" s="1"/>
  <c r="W11" i="18"/>
  <c r="W7" i="18"/>
  <c r="L7" i="18"/>
  <c r="W6" i="18"/>
  <c r="L6" i="18"/>
  <c r="W5" i="18"/>
  <c r="W4" i="18"/>
  <c r="H19" i="4"/>
  <c r="F19" i="4"/>
  <c r="G34" i="3"/>
  <c r="F34" i="3"/>
  <c r="G33" i="3"/>
  <c r="G30" i="3"/>
  <c r="G29" i="3"/>
  <c r="F29" i="3"/>
  <c r="F35" i="3" s="1"/>
  <c r="F38" i="3" s="1"/>
  <c r="F27" i="3"/>
  <c r="H55" i="1"/>
  <c r="K106" i="18" l="1"/>
  <c r="L106" i="18" s="1"/>
  <c r="K112" i="18"/>
  <c r="L112" i="18" s="1"/>
  <c r="K110" i="18"/>
  <c r="L110" i="18" s="1"/>
  <c r="K111" i="18"/>
  <c r="L111" i="18" s="1"/>
  <c r="K104" i="18"/>
  <c r="K105" i="18"/>
  <c r="L105" i="18" s="1"/>
  <c r="K109" i="18"/>
  <c r="L109" i="18" s="1"/>
  <c r="K107" i="18"/>
  <c r="L107" i="18" s="1"/>
  <c r="K108" i="18"/>
  <c r="L108" i="18" s="1"/>
  <c r="F16" i="16"/>
  <c r="K16" i="16"/>
  <c r="G16" i="16"/>
  <c r="I16" i="16"/>
  <c r="E16" i="16"/>
  <c r="J16" i="16"/>
  <c r="H16" i="16"/>
  <c r="L16" i="16"/>
  <c r="M16" i="16"/>
  <c r="L11" i="16"/>
  <c r="M11" i="16"/>
  <c r="F11" i="16"/>
  <c r="G11" i="16"/>
  <c r="E11" i="16"/>
  <c r="I11" i="16"/>
  <c r="K11" i="16"/>
  <c r="H11" i="16"/>
  <c r="J11" i="16"/>
  <c r="H12" i="16"/>
  <c r="K12" i="16"/>
  <c r="E12" i="16"/>
  <c r="I12" i="16"/>
  <c r="J12" i="16"/>
  <c r="L12" i="16"/>
  <c r="M12" i="16"/>
  <c r="G12" i="16"/>
  <c r="F12" i="16"/>
  <c r="F13" i="16"/>
  <c r="G13" i="16"/>
  <c r="H13" i="16"/>
  <c r="I13" i="16"/>
  <c r="J13" i="16"/>
  <c r="K13" i="16"/>
  <c r="L13" i="16"/>
  <c r="M13" i="16"/>
  <c r="E13" i="16"/>
  <c r="F14" i="16"/>
  <c r="J14" i="16"/>
  <c r="G14" i="16"/>
  <c r="I14" i="16"/>
  <c r="H14" i="16"/>
  <c r="E14" i="16"/>
  <c r="M14" i="16"/>
  <c r="K14" i="16"/>
  <c r="L14" i="16"/>
  <c r="K15" i="16"/>
  <c r="L15" i="16"/>
  <c r="J15" i="16"/>
  <c r="M15" i="16"/>
  <c r="G15" i="16"/>
  <c r="E15" i="16"/>
  <c r="F15" i="16"/>
  <c r="I15" i="16"/>
  <c r="H15" i="16"/>
  <c r="E15" i="13"/>
  <c r="J10" i="16"/>
  <c r="K10" i="16"/>
  <c r="I10" i="16"/>
  <c r="L10" i="16"/>
  <c r="M10" i="16"/>
  <c r="E10" i="16"/>
  <c r="F10" i="16"/>
  <c r="J9" i="16"/>
  <c r="K9" i="16"/>
  <c r="L9" i="16"/>
  <c r="M9" i="16"/>
  <c r="I9" i="16"/>
  <c r="E9" i="16"/>
  <c r="F9" i="16"/>
  <c r="AA16" i="2"/>
  <c r="H81" i="7"/>
  <c r="H48" i="7"/>
  <c r="V20" i="7"/>
  <c r="I81" i="7"/>
  <c r="I48" i="7"/>
  <c r="V25" i="7"/>
  <c r="J81" i="7"/>
  <c r="J48" i="7"/>
  <c r="V23" i="7"/>
  <c r="Y16" i="2"/>
  <c r="V22" i="7"/>
  <c r="F93" i="18"/>
  <c r="J113" i="18"/>
  <c r="P45" i="9"/>
  <c r="N35" i="9"/>
  <c r="L35" i="9"/>
  <c r="N23" i="9"/>
  <c r="P23" i="9"/>
  <c r="N27" i="9"/>
  <c r="P27" i="9"/>
  <c r="N31" i="9"/>
  <c r="L27" i="9"/>
  <c r="L31" i="9"/>
  <c r="P34" i="9"/>
  <c r="L44" i="9"/>
  <c r="N44" i="9"/>
  <c r="P44" i="9"/>
  <c r="L45" i="9"/>
  <c r="L24" i="9"/>
  <c r="P35" i="9"/>
  <c r="N24" i="9"/>
  <c r="N28" i="9"/>
  <c r="N32" i="9"/>
  <c r="L40" i="9"/>
  <c r="N45" i="9"/>
  <c r="L28" i="9"/>
  <c r="L32" i="9"/>
  <c r="P24" i="9"/>
  <c r="P28" i="9"/>
  <c r="P32" i="9"/>
  <c r="N40" i="9"/>
  <c r="P40" i="9"/>
  <c r="N25" i="9"/>
  <c r="N29" i="9"/>
  <c r="L33" i="9"/>
  <c r="L41" i="9"/>
  <c r="N41" i="9"/>
  <c r="L29" i="9"/>
  <c r="P29" i="9"/>
  <c r="L26" i="9"/>
  <c r="L30" i="9"/>
  <c r="P33" i="9"/>
  <c r="P41" i="9"/>
  <c r="N33" i="9"/>
  <c r="N26" i="9"/>
  <c r="N30" i="9"/>
  <c r="L34" i="9"/>
  <c r="L42" i="9"/>
  <c r="L25" i="9"/>
  <c r="P25" i="9"/>
  <c r="P26" i="9"/>
  <c r="P30" i="9"/>
  <c r="N34" i="9"/>
  <c r="P42" i="9"/>
  <c r="L48" i="18"/>
  <c r="M48" i="18" s="1"/>
  <c r="K82" i="18"/>
  <c r="M83" i="18" s="1"/>
  <c r="G93" i="18"/>
  <c r="G35" i="3"/>
  <c r="P6" i="1" s="1"/>
  <c r="N42" i="9"/>
  <c r="L39" i="9"/>
  <c r="L43" i="9"/>
  <c r="N39" i="9"/>
  <c r="N43" i="9"/>
  <c r="P39" i="9"/>
  <c r="P43" i="9"/>
  <c r="H5" i="16"/>
  <c r="L16" i="2"/>
  <c r="L22" i="2" s="1"/>
  <c r="F5" i="16"/>
  <c r="P41" i="2"/>
  <c r="P40" i="2"/>
  <c r="P29" i="2"/>
  <c r="P47" i="2"/>
  <c r="P49" i="2"/>
  <c r="P42" i="2"/>
  <c r="P54" i="2"/>
  <c r="P28" i="2"/>
  <c r="P35" i="2"/>
  <c r="Q53" i="2"/>
  <c r="Q40" i="2"/>
  <c r="Q32" i="2"/>
  <c r="Q29" i="2"/>
  <c r="Q41" i="2"/>
  <c r="Q45" i="2"/>
  <c r="Q30" i="2"/>
  <c r="Q17" i="2"/>
  <c r="Q47" i="2"/>
  <c r="Q54" i="2"/>
  <c r="Q35" i="2"/>
  <c r="Q52" i="2"/>
  <c r="M57" i="2"/>
  <c r="M56" i="2"/>
  <c r="M27" i="2"/>
  <c r="M34" i="2"/>
  <c r="M37" i="2"/>
  <c r="N50" i="2"/>
  <c r="N42" i="2"/>
  <c r="N28" i="2"/>
  <c r="N56" i="2"/>
  <c r="N27" i="2"/>
  <c r="N34" i="2"/>
  <c r="N49" i="2"/>
  <c r="N37" i="2"/>
  <c r="O55" i="2"/>
  <c r="O35" i="2"/>
  <c r="O56" i="2"/>
  <c r="O50" i="2"/>
  <c r="O29" i="2"/>
  <c r="O27" i="2"/>
  <c r="O34" i="2"/>
  <c r="O43" i="2"/>
  <c r="O31" i="2"/>
  <c r="O47" i="2"/>
  <c r="O49" i="2"/>
  <c r="O37" i="2"/>
  <c r="O54" i="2"/>
  <c r="O28" i="2"/>
  <c r="O42" i="2"/>
  <c r="G5" i="16"/>
  <c r="I4" i="16"/>
  <c r="I5" i="16" s="1"/>
  <c r="J4" i="16"/>
  <c r="J5" i="16" s="1"/>
  <c r="K4" i="16"/>
  <c r="K5" i="16" s="1"/>
  <c r="L4" i="16"/>
  <c r="L5" i="16" s="1"/>
  <c r="M4" i="16"/>
  <c r="M5" i="16" s="1"/>
  <c r="H51" i="1"/>
  <c r="F36" i="3"/>
  <c r="N57" i="2"/>
  <c r="M33" i="2"/>
  <c r="P36" i="2"/>
  <c r="M52" i="2"/>
  <c r="N30" i="2"/>
  <c r="P31" i="2"/>
  <c r="Q36" i="2"/>
  <c r="O38" i="2"/>
  <c r="M40" i="2"/>
  <c r="P43" i="2"/>
  <c r="N45" i="2"/>
  <c r="Q48" i="2"/>
  <c r="P50" i="2"/>
  <c r="N52" i="2"/>
  <c r="Q55" i="2"/>
  <c r="O57" i="2"/>
  <c r="N44" i="2"/>
  <c r="M45" i="2"/>
  <c r="M29" i="2"/>
  <c r="O30" i="2"/>
  <c r="Q31" i="2"/>
  <c r="M35" i="2"/>
  <c r="P38" i="2"/>
  <c r="N40" i="2"/>
  <c r="Q43" i="2"/>
  <c r="O45" i="2"/>
  <c r="M47" i="2"/>
  <c r="Q50" i="2"/>
  <c r="O52" i="2"/>
  <c r="M54" i="2"/>
  <c r="P57" i="2"/>
  <c r="M30" i="2"/>
  <c r="N38" i="2"/>
  <c r="P48" i="2"/>
  <c r="P55" i="2"/>
  <c r="M28" i="2"/>
  <c r="N29" i="2"/>
  <c r="P30" i="2"/>
  <c r="N35" i="2"/>
  <c r="Q38" i="2"/>
  <c r="O40" i="2"/>
  <c r="M42" i="2"/>
  <c r="P45" i="2"/>
  <c r="N47" i="2"/>
  <c r="M49" i="2"/>
  <c r="P52" i="2"/>
  <c r="N54" i="2"/>
  <c r="Q57" i="2"/>
  <c r="M51" i="2"/>
  <c r="N51" i="2"/>
  <c r="M17" i="2"/>
  <c r="M18" i="2"/>
  <c r="M19" i="2"/>
  <c r="M20" i="2"/>
  <c r="M21" i="2"/>
  <c r="M22" i="2"/>
  <c r="M23" i="2"/>
  <c r="M24" i="2"/>
  <c r="M25" i="2"/>
  <c r="N26" i="2"/>
  <c r="P27" i="2"/>
  <c r="Q28" i="2"/>
  <c r="N33" i="2"/>
  <c r="P34" i="2"/>
  <c r="P37" i="2"/>
  <c r="N39" i="2"/>
  <c r="Q42" i="2"/>
  <c r="O44" i="2"/>
  <c r="M46" i="2"/>
  <c r="Q49" i="2"/>
  <c r="O51" i="2"/>
  <c r="M53" i="2"/>
  <c r="P56" i="2"/>
  <c r="M44" i="2"/>
  <c r="M26" i="2"/>
  <c r="N17" i="2"/>
  <c r="N18" i="2"/>
  <c r="N19" i="2"/>
  <c r="N20" i="2"/>
  <c r="N21" i="2"/>
  <c r="N22" i="2"/>
  <c r="N23" i="2"/>
  <c r="N24" i="2"/>
  <c r="N25" i="2"/>
  <c r="O26" i="2"/>
  <c r="Q27" i="2"/>
  <c r="M32" i="2"/>
  <c r="O33" i="2"/>
  <c r="Q34" i="2"/>
  <c r="Q37" i="2"/>
  <c r="O39" i="2"/>
  <c r="M41" i="2"/>
  <c r="P44" i="2"/>
  <c r="N46" i="2"/>
  <c r="P51" i="2"/>
  <c r="N53" i="2"/>
  <c r="Q56" i="2"/>
  <c r="O17" i="2"/>
  <c r="O18" i="2"/>
  <c r="O19" i="2"/>
  <c r="O20" i="2"/>
  <c r="O21" i="2"/>
  <c r="O22" i="2"/>
  <c r="O23" i="2"/>
  <c r="O24" i="2"/>
  <c r="O25" i="2"/>
  <c r="P26" i="2"/>
  <c r="L36" i="2"/>
  <c r="N32" i="2"/>
  <c r="P33" i="2"/>
  <c r="M36" i="2"/>
  <c r="P39" i="2"/>
  <c r="N41" i="2"/>
  <c r="Q44" i="2"/>
  <c r="O46" i="2"/>
  <c r="M48" i="2"/>
  <c r="Q51" i="2"/>
  <c r="O53" i="2"/>
  <c r="M55" i="2"/>
  <c r="L44" i="2"/>
  <c r="M39" i="2"/>
  <c r="P17" i="2"/>
  <c r="P18" i="2"/>
  <c r="P19" i="2"/>
  <c r="P20" i="2"/>
  <c r="P21" i="2"/>
  <c r="P22" i="2"/>
  <c r="P23" i="2"/>
  <c r="P24" i="2"/>
  <c r="P25" i="2"/>
  <c r="Q26" i="2"/>
  <c r="L40" i="2"/>
  <c r="M31" i="2"/>
  <c r="O32" i="2"/>
  <c r="Q33" i="2"/>
  <c r="N36" i="2"/>
  <c r="Q39" i="2"/>
  <c r="O41" i="2"/>
  <c r="M43" i="2"/>
  <c r="P46" i="2"/>
  <c r="N48" i="2"/>
  <c r="M50" i="2"/>
  <c r="P53" i="2"/>
  <c r="N55" i="2"/>
  <c r="Q18" i="2"/>
  <c r="Q19" i="2"/>
  <c r="Q20" i="2"/>
  <c r="Q21" i="2"/>
  <c r="Q22" i="2"/>
  <c r="Q23" i="2"/>
  <c r="Q24" i="2"/>
  <c r="Q25" i="2"/>
  <c r="N31" i="2"/>
  <c r="P32" i="2"/>
  <c r="O36" i="2"/>
  <c r="M38" i="2"/>
  <c r="N43" i="2"/>
  <c r="Q46" i="2"/>
  <c r="O48" i="2"/>
  <c r="L56" i="2"/>
  <c r="AL16" i="2"/>
  <c r="AM16" i="2" s="1"/>
  <c r="AN16" i="2" s="1"/>
  <c r="I49" i="2" s="1"/>
  <c r="F7" i="8"/>
  <c r="H59" i="18"/>
  <c r="H63" i="18" s="1"/>
  <c r="L37" i="2"/>
  <c r="L50" i="2"/>
  <c r="L24" i="2"/>
  <c r="L42" i="2"/>
  <c r="L41" i="2"/>
  <c r="L18" i="2"/>
  <c r="L43" i="2"/>
  <c r="D8" i="16"/>
  <c r="D75" i="12"/>
  <c r="L46" i="18"/>
  <c r="M46" i="18" s="1"/>
  <c r="L47" i="18"/>
  <c r="M47" i="18" s="1"/>
  <c r="L42" i="18"/>
  <c r="M42" i="18" s="1"/>
  <c r="L43" i="18"/>
  <c r="M43" i="18" s="1"/>
  <c r="L44" i="18"/>
  <c r="M44" i="18" s="1"/>
  <c r="L45" i="18"/>
  <c r="M45" i="18" s="1"/>
  <c r="L41" i="18"/>
  <c r="M41" i="18" s="1"/>
  <c r="D58" i="12"/>
  <c r="L28" i="2"/>
  <c r="L17" i="2"/>
  <c r="L30" i="2"/>
  <c r="L31" i="2"/>
  <c r="L32" i="2"/>
  <c r="L38" i="2"/>
  <c r="H44" i="1"/>
  <c r="D57" i="12"/>
  <c r="E50" i="13"/>
  <c r="D59" i="12" a="1"/>
  <c r="D59" i="12" s="1"/>
  <c r="E52" i="13"/>
  <c r="H24" i="1"/>
  <c r="AC26" i="2"/>
  <c r="L49" i="2" s="1"/>
  <c r="D87" i="12"/>
  <c r="D82" i="12"/>
  <c r="AE25" i="2" l="1"/>
  <c r="D19" i="12"/>
  <c r="E18" i="13"/>
  <c r="D20" i="12"/>
  <c r="E17" i="13"/>
  <c r="L25" i="2"/>
  <c r="H10" i="16" s="1"/>
  <c r="L57" i="2"/>
  <c r="L20" i="2"/>
  <c r="L45" i="2"/>
  <c r="AE22" i="2"/>
  <c r="J34" i="2" s="1"/>
  <c r="K34" i="2" s="1"/>
  <c r="L47" i="2"/>
  <c r="H9" i="16" s="1"/>
  <c r="L54" i="2"/>
  <c r="L21" i="2"/>
  <c r="L34" i="2"/>
  <c r="L48" i="2"/>
  <c r="L52" i="2"/>
  <c r="L27" i="2"/>
  <c r="L35" i="2"/>
  <c r="L39" i="2"/>
  <c r="L29" i="2"/>
  <c r="L51" i="2"/>
  <c r="L26" i="2"/>
  <c r="L46" i="2"/>
  <c r="L53" i="2"/>
  <c r="M90" i="7"/>
  <c r="M91" i="7" s="1"/>
  <c r="L23" i="2"/>
  <c r="L19" i="2"/>
  <c r="AE23" i="2"/>
  <c r="J33" i="2" s="1"/>
  <c r="K33" i="2" s="1"/>
  <c r="L55" i="2"/>
  <c r="AE27" i="2"/>
  <c r="J42" i="2" s="1"/>
  <c r="K42" i="2" s="1"/>
  <c r="AE32" i="2"/>
  <c r="J51" i="2" s="1"/>
  <c r="K51" i="2" s="1"/>
  <c r="AE24" i="2"/>
  <c r="J47" i="2" s="1"/>
  <c r="K47" i="2" s="1"/>
  <c r="L33" i="2"/>
  <c r="L8" i="16"/>
  <c r="I17" i="18" s="1"/>
  <c r="K17" i="18" s="1"/>
  <c r="L17" i="18" s="1"/>
  <c r="AE21" i="2"/>
  <c r="J35" i="2" s="1"/>
  <c r="K35" i="2" s="1"/>
  <c r="AE20" i="2"/>
  <c r="J25" i="2" s="1"/>
  <c r="K25" i="2" s="1"/>
  <c r="G10" i="16" s="1"/>
  <c r="AE34" i="2"/>
  <c r="J54" i="2" s="1"/>
  <c r="K54" i="2" s="1"/>
  <c r="AE19" i="2"/>
  <c r="J26" i="2" s="1"/>
  <c r="K26" i="2" s="1"/>
  <c r="AE31" i="2"/>
  <c r="J46" i="2" s="1"/>
  <c r="K46" i="2" s="1"/>
  <c r="AE18" i="2"/>
  <c r="J53" i="2" s="1"/>
  <c r="K53" i="2" s="1"/>
  <c r="AE26" i="2"/>
  <c r="J49" i="2" s="1"/>
  <c r="K49" i="2" s="1"/>
  <c r="AE17" i="2"/>
  <c r="J22" i="2" s="1"/>
  <c r="K22" i="2" s="1"/>
  <c r="AE33" i="2"/>
  <c r="J55" i="2" s="1"/>
  <c r="K55" i="2" s="1"/>
  <c r="AE28" i="2"/>
  <c r="J36" i="2" s="1"/>
  <c r="K36" i="2" s="1"/>
  <c r="AE29" i="2"/>
  <c r="J41" i="2" s="1"/>
  <c r="K41" i="2" s="1"/>
  <c r="AE30" i="2"/>
  <c r="J44" i="2" s="1"/>
  <c r="K44" i="2" s="1"/>
  <c r="N83" i="18"/>
  <c r="L104" i="18"/>
  <c r="L113" i="18" s="1"/>
  <c r="L114" i="18" s="1"/>
  <c r="K113" i="18"/>
  <c r="P5" i="1"/>
  <c r="G36" i="3" s="1"/>
  <c r="D16" i="12"/>
  <c r="D15" i="12"/>
  <c r="J28" i="2"/>
  <c r="K28" i="2" s="1"/>
  <c r="E11" i="13"/>
  <c r="F8" i="16"/>
  <c r="J8" i="16"/>
  <c r="I15" i="18" s="1"/>
  <c r="K15" i="18" s="1"/>
  <c r="L15" i="18" s="1"/>
  <c r="E75" i="13"/>
  <c r="M50" i="18"/>
  <c r="L50" i="18"/>
  <c r="E14" i="13"/>
  <c r="F22" i="4"/>
  <c r="E16" i="13" s="1"/>
  <c r="E8" i="16"/>
  <c r="I8" i="16"/>
  <c r="I14" i="18" s="1"/>
  <c r="K14" i="18" s="1"/>
  <c r="L14" i="18" s="1"/>
  <c r="K8" i="16"/>
  <c r="I16" i="18" s="1"/>
  <c r="K16" i="18" s="1"/>
  <c r="L16" i="18" s="1"/>
  <c r="E60" i="13"/>
  <c r="D69" i="12"/>
  <c r="D37" i="12"/>
  <c r="F7" i="6"/>
  <c r="F8" i="6" s="1"/>
  <c r="D73" i="12" a="1"/>
  <c r="D73" i="12" s="1"/>
  <c r="E63" i="13"/>
  <c r="M101" i="7" l="1"/>
  <c r="H115" i="18"/>
  <c r="D32" i="12" s="1"/>
  <c r="E28" i="13"/>
  <c r="J37" i="2"/>
  <c r="K37" i="2" s="1"/>
  <c r="J27" i="2"/>
  <c r="K27" i="2" s="1"/>
  <c r="E33" i="13"/>
  <c r="J29" i="2"/>
  <c r="K29" i="2" s="1"/>
  <c r="J32" i="2"/>
  <c r="K32" i="2" s="1"/>
  <c r="J30" i="2"/>
  <c r="K30" i="2" s="1"/>
  <c r="J43" i="2"/>
  <c r="K43" i="2" s="1"/>
  <c r="H8" i="16"/>
  <c r="J17" i="2"/>
  <c r="K17" i="2" s="1"/>
  <c r="J40" i="2"/>
  <c r="K40" i="2" s="1"/>
  <c r="G9" i="16" s="1"/>
  <c r="J24" i="2"/>
  <c r="K24" i="2" s="1"/>
  <c r="J21" i="2"/>
  <c r="K21" i="2" s="1"/>
  <c r="J50" i="2"/>
  <c r="K50" i="2" s="1"/>
  <c r="M8" i="16"/>
  <c r="I18" i="18" s="1"/>
  <c r="K18" i="18" s="1"/>
  <c r="L18" i="18" s="1"/>
  <c r="L20" i="18" s="1"/>
  <c r="F80" i="18" s="1"/>
  <c r="G80" i="18" s="1"/>
  <c r="J23" i="2"/>
  <c r="K23" i="2" s="1"/>
  <c r="J20" i="2"/>
  <c r="K20" i="2" s="1"/>
  <c r="J19" i="2"/>
  <c r="K19" i="2" s="1"/>
  <c r="J48" i="2"/>
  <c r="K48" i="2" s="1"/>
  <c r="J39" i="2"/>
  <c r="K39" i="2" s="1"/>
  <c r="J38" i="2"/>
  <c r="K38" i="2" s="1"/>
  <c r="J18" i="2"/>
  <c r="K18" i="2" s="1"/>
  <c r="J45" i="2"/>
  <c r="K45" i="2" s="1"/>
  <c r="J52" i="2"/>
  <c r="K52" i="2" s="1"/>
  <c r="J31" i="2"/>
  <c r="K31" i="2" s="1"/>
  <c r="J57" i="2"/>
  <c r="K57" i="2" s="1"/>
  <c r="J56" i="2"/>
  <c r="K56" i="2" s="1"/>
  <c r="P28" i="1"/>
  <c r="P16" i="1"/>
  <c r="F6" i="16"/>
  <c r="E6" i="16"/>
  <c r="F116" i="7" s="1"/>
  <c r="D17" i="12"/>
  <c r="E42" i="13"/>
  <c r="E41" i="13"/>
  <c r="H6" i="16" l="1"/>
  <c r="P9" i="1" s="1"/>
  <c r="G8" i="16"/>
  <c r="P23" i="1" s="1"/>
  <c r="K20" i="18"/>
  <c r="P10" i="1"/>
  <c r="E47" i="13"/>
  <c r="F115" i="7"/>
  <c r="F70" i="18"/>
  <c r="G70" i="18" s="1"/>
  <c r="P15" i="1"/>
  <c r="G109" i="7" s="1"/>
  <c r="E29" i="13"/>
  <c r="H8" i="7"/>
  <c r="F76" i="18"/>
  <c r="G76" i="18" s="1"/>
  <c r="F81" i="18"/>
  <c r="G81" i="18" s="1"/>
  <c r="F74" i="18"/>
  <c r="G74" i="18" s="1"/>
  <c r="F75" i="18"/>
  <c r="G75" i="18" s="1"/>
  <c r="F79" i="18"/>
  <c r="G79" i="18" s="1"/>
  <c r="F78" i="18"/>
  <c r="G78" i="18" s="1"/>
  <c r="F71" i="18"/>
  <c r="G71" i="18" s="1"/>
  <c r="F73" i="18"/>
  <c r="G73" i="18" s="1"/>
  <c r="F72" i="18"/>
  <c r="G72" i="18" s="1"/>
  <c r="F77" i="18"/>
  <c r="G77" i="18" s="1"/>
  <c r="K93" i="18"/>
  <c r="E26" i="13" s="1" a="1"/>
  <c r="E26" i="13" s="1"/>
  <c r="H91" i="18" l="1"/>
  <c r="G7" i="18"/>
  <c r="D28" i="12"/>
  <c r="G108" i="7"/>
  <c r="F14" i="6" s="1"/>
  <c r="G6" i="16"/>
  <c r="P22" i="1" s="1"/>
  <c r="H109" i="7"/>
  <c r="E40" i="13" s="1"/>
  <c r="E39" i="13"/>
  <c r="H108" i="7"/>
  <c r="P18" i="1"/>
  <c r="H7" i="7"/>
  <c r="F91" i="18"/>
  <c r="G6" i="18"/>
  <c r="P12" i="1"/>
  <c r="G91" i="18" s="1"/>
  <c r="G82" i="18"/>
  <c r="F82" i="18"/>
  <c r="I83" i="18" s="1"/>
  <c r="M104" i="7" l="1"/>
  <c r="D48" i="12" s="1"/>
  <c r="N104" i="7"/>
  <c r="P25" i="1"/>
  <c r="G83" i="18"/>
  <c r="D31" i="12" s="1"/>
  <c r="H92" i="18"/>
  <c r="D29" i="12" s="1"/>
  <c r="N7" i="7"/>
  <c r="N8" i="7"/>
  <c r="F19" i="6"/>
  <c r="E37" i="13"/>
  <c r="E38" i="13"/>
  <c r="D45" i="12"/>
  <c r="F92" i="18"/>
  <c r="K92" i="18"/>
  <c r="H83" i="18"/>
  <c r="G92" i="18"/>
  <c r="D30" i="12" l="1"/>
  <c r="E27" i="13"/>
  <c r="D80" i="12"/>
  <c r="G81" i="7" l="1"/>
  <c r="N89" i="7" s="1"/>
  <c r="N90" i="7" l="1"/>
  <c r="N91" i="7" s="1"/>
  <c r="N101" i="7" s="1"/>
  <c r="M94" i="7" l="1"/>
  <c r="N94" i="7"/>
  <c r="F13" i="3"/>
  <c r="F14" i="3" s="1"/>
  <c r="N93" i="7"/>
  <c r="N105" i="7"/>
  <c r="M93" i="7"/>
  <c r="M105" i="7"/>
  <c r="F8" i="3"/>
  <c r="F7" i="9"/>
  <c r="G7" i="9"/>
  <c r="E6" i="13" l="1"/>
  <c r="E7" i="13"/>
  <c r="E46" i="13"/>
  <c r="G9" i="9"/>
  <c r="G8" i="9"/>
  <c r="L30" i="13"/>
  <c r="F8" i="9"/>
  <c r="F9" i="9"/>
  <c r="E45" i="13"/>
  <c r="N30" i="13" l="1"/>
  <c r="M38" i="13" s="1"/>
  <c r="L31" i="13"/>
  <c r="L34" i="13"/>
  <c r="L33" i="13"/>
  <c r="L32" i="13"/>
  <c r="N32" i="13" l="1"/>
  <c r="M40" i="13" s="1"/>
  <c r="N33" i="13"/>
  <c r="M41" i="13" s="1"/>
  <c r="N34" i="13"/>
  <c r="M42" i="13" s="1"/>
  <c r="N31" i="13"/>
  <c r="D50" i="12" s="1"/>
  <c r="L38" i="13"/>
  <c r="M39" i="13" l="1"/>
  <c r="L39" i="13"/>
  <c r="L42" i="13"/>
  <c r="L41" i="13"/>
  <c r="L40"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<sst xmlns="http://schemas.openxmlformats.org/spreadsheetml/2006/main" count="2020" uniqueCount="1263">
  <si>
    <t>Explanation</t>
  </si>
  <si>
    <t>Step 2: Review your benchmarks to evaluate your projects performance.</t>
  </si>
  <si>
    <t>Transportation</t>
  </si>
  <si>
    <t>Project Name</t>
  </si>
  <si>
    <t xml:space="preserve">Total Annual </t>
  </si>
  <si>
    <r>
      <t>kg-CO</t>
    </r>
    <r>
      <rPr>
        <vertAlign val="subscript"/>
        <sz val="10"/>
        <color rgb="FF000000"/>
        <rFont val="Calibri"/>
        <family val="2"/>
      </rPr>
      <t>2</t>
    </r>
    <r>
      <rPr>
        <sz val="10"/>
        <color rgb="FF000000"/>
        <rFont val="Calibri"/>
        <family val="2"/>
      </rPr>
      <t>e / yr</t>
    </r>
  </si>
  <si>
    <t>Project Address</t>
  </si>
  <si>
    <t>Total Annual per Occupant</t>
  </si>
  <si>
    <r>
      <t>kg-CO</t>
    </r>
    <r>
      <rPr>
        <vertAlign val="subscript"/>
        <sz val="10"/>
        <color rgb="FF000000"/>
        <rFont val="Calibri"/>
        <family val="2"/>
      </rPr>
      <t>2</t>
    </r>
    <r>
      <rPr>
        <sz val="10"/>
        <color rgb="FF000000"/>
        <rFont val="Calibri"/>
        <family val="2"/>
      </rPr>
      <t>e / occupant / yr</t>
    </r>
  </si>
  <si>
    <t>apt., suite, etc.</t>
  </si>
  <si>
    <t>City</t>
  </si>
  <si>
    <t>Water</t>
  </si>
  <si>
    <t>State</t>
  </si>
  <si>
    <t>Total Annual Water Use</t>
  </si>
  <si>
    <t>gal / yr</t>
  </si>
  <si>
    <r>
      <t>WUI - Water Use Intensity</t>
    </r>
    <r>
      <rPr>
        <i/>
        <sz val="10"/>
        <color rgb="FF000000"/>
        <rFont val="Calibri"/>
        <family val="2"/>
      </rPr>
      <t xml:space="preserve"> (Program-based)</t>
    </r>
  </si>
  <si>
    <t>gal / sf / yr</t>
  </si>
  <si>
    <t>User-Defined Benchmark Source</t>
  </si>
  <si>
    <t>ASHRAE Climate Zone</t>
  </si>
  <si>
    <r>
      <t xml:space="preserve">WUI - Water Use Intensity </t>
    </r>
    <r>
      <rPr>
        <i/>
        <sz val="10"/>
        <color rgb="FF000000"/>
        <rFont val="Calibri"/>
        <family val="2"/>
      </rPr>
      <t>(User-Defined)</t>
    </r>
  </si>
  <si>
    <t>Water Use per Occupant</t>
  </si>
  <si>
    <t>gal / occupant / yr</t>
  </si>
  <si>
    <t>sf</t>
  </si>
  <si>
    <t>Energy</t>
  </si>
  <si>
    <t>Total Annual Energy Use</t>
  </si>
  <si>
    <t>kBtu / yr</t>
  </si>
  <si>
    <t>People</t>
  </si>
  <si>
    <r>
      <t>EUI - Energy Use Intensity</t>
    </r>
    <r>
      <rPr>
        <i/>
        <sz val="10"/>
        <color rgb="FF000000"/>
        <rFont val="Calibri"/>
        <family val="2"/>
      </rPr>
      <t xml:space="preserve"> (Program-based)</t>
    </r>
  </si>
  <si>
    <t>kBtu / sf / yr</t>
  </si>
  <si>
    <r>
      <t>EUI - Energy Use Intensity</t>
    </r>
    <r>
      <rPr>
        <i/>
        <sz val="10"/>
        <color rgb="FF000000"/>
        <rFont val="Calibri"/>
        <family val="2"/>
      </rPr>
      <t xml:space="preserve"> (User-defined)</t>
    </r>
  </si>
  <si>
    <t>Use ZeroTool designated EUI</t>
  </si>
  <si>
    <t>Energy Use per Occupant</t>
  </si>
  <si>
    <t>kBtu / occupant / yr</t>
  </si>
  <si>
    <t>Cell Type Legend</t>
  </si>
  <si>
    <t>Project completion year</t>
  </si>
  <si>
    <t>Input data</t>
  </si>
  <si>
    <t>Days</t>
  </si>
  <si>
    <t>Operational Carbon Emissions</t>
  </si>
  <si>
    <t>Total Annual Carbon Emissions</t>
  </si>
  <si>
    <t>Reasonable values and sources</t>
  </si>
  <si>
    <r>
      <t>Total Construction Cost</t>
    </r>
    <r>
      <rPr>
        <vertAlign val="superscript"/>
        <sz val="10"/>
        <rFont val="Calibri"/>
        <family val="2"/>
      </rPr>
      <t>(?)</t>
    </r>
  </si>
  <si>
    <t>USD</t>
  </si>
  <si>
    <r>
      <t>Carbon Use Intensity</t>
    </r>
    <r>
      <rPr>
        <i/>
        <sz val="10"/>
        <color rgb="FF000000"/>
        <rFont val="Calibri"/>
        <family val="2"/>
      </rPr>
      <t xml:space="preserve"> (Program-based)</t>
    </r>
  </si>
  <si>
    <r>
      <t>kg-CO</t>
    </r>
    <r>
      <rPr>
        <vertAlign val="subscript"/>
        <sz val="10"/>
        <color rgb="FF000000"/>
        <rFont val="Calibri"/>
        <family val="2"/>
      </rPr>
      <t>2</t>
    </r>
    <r>
      <rPr>
        <sz val="10"/>
        <color rgb="FF000000"/>
        <rFont val="Calibri"/>
        <family val="2"/>
      </rPr>
      <t>e / sf / yr</t>
    </r>
  </si>
  <si>
    <t>FAR</t>
  </si>
  <si>
    <r>
      <t xml:space="preserve">Carbon Use Intensity </t>
    </r>
    <r>
      <rPr>
        <i/>
        <sz val="10"/>
        <color rgb="FF000000"/>
        <rFont val="Calibri"/>
        <family val="2"/>
      </rPr>
      <t>(User-Defined)</t>
    </r>
  </si>
  <si>
    <t>Carbon Emissions per Occupant</t>
  </si>
  <si>
    <t>sf/occupant - Avg.</t>
  </si>
  <si>
    <t>Electric Lighting</t>
  </si>
  <si>
    <t>Calculated Value</t>
  </si>
  <si>
    <t>Annual hours of operation</t>
  </si>
  <si>
    <t>Lighting Power Density</t>
  </si>
  <si>
    <t>W / sf</t>
  </si>
  <si>
    <r>
      <t xml:space="preserve">Lighting Power Density </t>
    </r>
    <r>
      <rPr>
        <i/>
        <sz val="10"/>
        <rFont val="Calibri"/>
        <family val="2"/>
      </rPr>
      <t>(User-Defined)</t>
    </r>
  </si>
  <si>
    <t>Building Program #1</t>
  </si>
  <si>
    <t>Building Program #2</t>
  </si>
  <si>
    <t>Building Program #3</t>
  </si>
  <si>
    <t>Building Program #4</t>
  </si>
  <si>
    <t>Building Program #5</t>
  </si>
  <si>
    <t>Building Program #6</t>
  </si>
  <si>
    <t>Building Program #7</t>
  </si>
  <si>
    <t>Building Program #8</t>
  </si>
  <si>
    <t>Project Type</t>
  </si>
  <si>
    <r>
      <t>Site Environment</t>
    </r>
    <r>
      <rPr>
        <vertAlign val="superscript"/>
        <sz val="10"/>
        <color rgb="FF000000"/>
        <rFont val="Calibri"/>
        <family val="2"/>
      </rPr>
      <t>(?)</t>
    </r>
  </si>
  <si>
    <t>Previously Developed Site</t>
  </si>
  <si>
    <t>Is the firm an AIA 2030 Signatory</t>
  </si>
  <si>
    <t>Reported in the AIA DDx</t>
  </si>
  <si>
    <t>Third party rating system 1</t>
  </si>
  <si>
    <t>Third party rating system 2</t>
  </si>
  <si>
    <t>Third party rating system 3</t>
  </si>
  <si>
    <t>If other, specify</t>
  </si>
  <si>
    <t>Explanations</t>
  </si>
  <si>
    <t>HOLISTIC SUSTAINABILITY</t>
  </si>
  <si>
    <t>COMMUNITY</t>
  </si>
  <si>
    <t>Place based.</t>
  </si>
  <si>
    <t>ECOLOGY</t>
  </si>
  <si>
    <t>Aquifer/watershed, shared resource.</t>
  </si>
  <si>
    <t>Climate appropriate landscape. Rainwater harvesting.</t>
  </si>
  <si>
    <t>WATER</t>
  </si>
  <si>
    <t>Financial resilience.</t>
  </si>
  <si>
    <t>Economic benefits of biophilic design. Low maintenance design.</t>
  </si>
  <si>
    <t>Water savings, water independence.</t>
  </si>
  <si>
    <t>ECONOMY</t>
  </si>
  <si>
    <t>District systems.</t>
  </si>
  <si>
    <t>Bioclimatic and passive design.</t>
  </si>
  <si>
    <t>Energy savings from transportation and treatment of water.</t>
  </si>
  <si>
    <t>Life cycle cost, Life cycle analysis.</t>
  </si>
  <si>
    <t>ENERGY</t>
  </si>
  <si>
    <t>Carbon emissions from transportation. Air quality.</t>
  </si>
  <si>
    <t>Connection to nature.</t>
  </si>
  <si>
    <t>Water quality.</t>
  </si>
  <si>
    <t>Operational costs and costs from productivity of building occupants.</t>
  </si>
  <si>
    <t>Daylighting as energy conversation measure.</t>
  </si>
  <si>
    <t>WELLNESS</t>
  </si>
  <si>
    <t>Locally sourced materials.</t>
  </si>
  <si>
    <t>Environmentally conscious material extraction, mfg., transp. and disposal.</t>
  </si>
  <si>
    <t>Aquifer conservation, surface water quality and enjoyment, watershed protection.</t>
  </si>
  <si>
    <t>Durability and maintenance of materials.</t>
  </si>
  <si>
    <t>Embodied carbon of materials.</t>
  </si>
  <si>
    <t>Safer material selection, material transparency.</t>
  </si>
  <si>
    <t>RESOURCES</t>
  </si>
  <si>
    <t>Social equity is a major component of resilience.</t>
  </si>
  <si>
    <t>Climate change: fires, earthquakes, floods, ocean rise.</t>
  </si>
  <si>
    <t>Water resilience. Flooding, precipitation changes, drought.</t>
  </si>
  <si>
    <t>Right sizing, flexibility for growth and change.</t>
  </si>
  <si>
    <t>Carbon's role in climate change.</t>
  </si>
  <si>
    <t>Passive survivability.</t>
  </si>
  <si>
    <t>Embodied carbon savings from adaptive reuse.</t>
  </si>
  <si>
    <t>CHANGE</t>
  </si>
  <si>
    <t>User groups, profiles, heat maps.</t>
  </si>
  <si>
    <t>Biodiversity.</t>
  </si>
  <si>
    <t>Mindful presence of water.</t>
  </si>
  <si>
    <t>Replicable, cost effective strategies.</t>
  </si>
  <si>
    <t xml:space="preserve">Measurement and verification. </t>
  </si>
  <si>
    <t>Tracking health impacts.</t>
  </si>
  <si>
    <t>Future adaptability.</t>
  </si>
  <si>
    <t>Post-occupancy evaluations.</t>
  </si>
  <si>
    <t>DISCOVERY</t>
  </si>
  <si>
    <t>Reasonable Ranges</t>
  </si>
  <si>
    <t>Sources</t>
  </si>
  <si>
    <t>Range</t>
  </si>
  <si>
    <t>Walk Score</t>
  </si>
  <si>
    <t>Transit Score</t>
  </si>
  <si>
    <t>Bike Score</t>
  </si>
  <si>
    <t>Car Dependent</t>
  </si>
  <si>
    <t>Minimal Transit</t>
  </si>
  <si>
    <t>Somewhat Bikeable</t>
  </si>
  <si>
    <t>Mostly Car Dependent</t>
  </si>
  <si>
    <t>Some Transit</t>
  </si>
  <si>
    <t>Bikeable</t>
  </si>
  <si>
    <t>Somewhat Walkable</t>
  </si>
  <si>
    <t>Good Transit</t>
  </si>
  <si>
    <t>Very Bikeable</t>
  </si>
  <si>
    <t>Very Walkable</t>
  </si>
  <si>
    <t>Excellent Transit</t>
  </si>
  <si>
    <t>Biker's Paradise</t>
  </si>
  <si>
    <t>Walker's Paradise</t>
  </si>
  <si>
    <t>Rider's Paradise</t>
  </si>
  <si>
    <t>Type</t>
  </si>
  <si>
    <t>Score</t>
  </si>
  <si>
    <t>Poor</t>
  </si>
  <si>
    <t>Baseline</t>
  </si>
  <si>
    <t xml:space="preserve">This simple calculator compares your project's commuting patterns to published national averages. Use a survey (or an educated guess) to determine the average commuting distance and average mpg of the building's occupants. 
If no information is available, use the baseline (US national average). Though it's designed for office projects, the calculator can produce good results for all buildings that people travel to and from.  </t>
  </si>
  <si>
    <r>
      <t>kgs of CO</t>
    </r>
    <r>
      <rPr>
        <vertAlign val="subscript"/>
        <sz val="10"/>
        <color rgb="FF000000"/>
        <rFont val="Calibri"/>
        <family val="2"/>
      </rPr>
      <t>2</t>
    </r>
    <r>
      <rPr>
        <sz val="10"/>
        <color rgb="FF000000"/>
        <rFont val="Calibri"/>
        <family val="2"/>
      </rPr>
      <t>e/Occupant</t>
    </r>
  </si>
  <si>
    <t xml:space="preserve">Reference Values </t>
  </si>
  <si>
    <t>Unit</t>
  </si>
  <si>
    <t>Source</t>
  </si>
  <si>
    <t>Average car fuel economy</t>
  </si>
  <si>
    <t>mpg</t>
  </si>
  <si>
    <t>2020 EPA Automative Trends Report</t>
  </si>
  <si>
    <t>Proposed</t>
  </si>
  <si>
    <t>&gt; 1800</t>
  </si>
  <si>
    <r>
      <t>Average CO</t>
    </r>
    <r>
      <rPr>
        <vertAlign val="subscript"/>
        <sz val="10"/>
        <color rgb="FF000000"/>
        <rFont val="Calibri"/>
        <family val="2"/>
      </rPr>
      <t>2</t>
    </r>
    <r>
      <rPr>
        <sz val="10"/>
        <color rgb="FF000000"/>
        <rFont val="Calibri"/>
        <family val="2"/>
      </rPr>
      <t xml:space="preserve"> emitted per gallon</t>
    </r>
  </si>
  <si>
    <r>
      <t>kg CO</t>
    </r>
    <r>
      <rPr>
        <vertAlign val="subscript"/>
        <sz val="10"/>
        <color rgb="FF000000"/>
        <rFont val="Calibri"/>
        <family val="2"/>
      </rPr>
      <t>2</t>
    </r>
    <r>
      <rPr>
        <sz val="10"/>
        <color rgb="FF000000"/>
        <rFont val="Calibri"/>
        <family val="2"/>
      </rPr>
      <t>e/gallon</t>
    </r>
  </si>
  <si>
    <t>EPA - Vehicle Emissions</t>
  </si>
  <si>
    <t>Average Daily Occupancy</t>
  </si>
  <si>
    <t>1350 - 1800</t>
  </si>
  <si>
    <t>Getting there</t>
  </si>
  <si>
    <t xml:space="preserve">Average one way commute </t>
  </si>
  <si>
    <t>Miles</t>
  </si>
  <si>
    <t>2017 National Household Travel Survey</t>
  </si>
  <si>
    <r>
      <t>No. of occupants commuting by single-occupancy gas vehicle</t>
    </r>
    <r>
      <rPr>
        <vertAlign val="superscript"/>
        <sz val="10"/>
        <color rgb="FF000000"/>
        <rFont val="Calibri"/>
        <family val="2"/>
      </rPr>
      <t>(?)</t>
    </r>
  </si>
  <si>
    <t>900 - 1350</t>
  </si>
  <si>
    <t>Better</t>
  </si>
  <si>
    <t xml:space="preserve">Table 27, Survey Year 2017 Adj., Private Vehicle </t>
  </si>
  <si>
    <t>Percent of occupants commuting by single-occupancy vehicle</t>
  </si>
  <si>
    <t>Weekly Avg.</t>
  </si>
  <si>
    <t>450 - 900</t>
  </si>
  <si>
    <t>High Performing</t>
  </si>
  <si>
    <t>Share of single occupancy commutes</t>
  </si>
  <si>
    <t>2019 Census</t>
  </si>
  <si>
    <t>Average round trip commute</t>
  </si>
  <si>
    <t>0 - 450</t>
  </si>
  <si>
    <t>Very High Performing</t>
  </si>
  <si>
    <t>Average commuting days</t>
  </si>
  <si>
    <t>days/year</t>
  </si>
  <si>
    <t xml:space="preserve"> 5 days * 50 weeks</t>
  </si>
  <si>
    <t>Days Commuting per week</t>
  </si>
  <si>
    <t>Weeks commuting per year</t>
  </si>
  <si>
    <t>weeks</t>
  </si>
  <si>
    <t>*Please use reference values, not regional values</t>
  </si>
  <si>
    <r>
      <t>Average Car Fuel Economy</t>
    </r>
    <r>
      <rPr>
        <vertAlign val="superscript"/>
        <sz val="10"/>
        <color rgb="FF000000"/>
        <rFont val="Calibri"/>
        <family val="2"/>
      </rPr>
      <t>(?)</t>
    </r>
  </si>
  <si>
    <t>Average carbon emission per gallon of gasoline</t>
  </si>
  <si>
    <r>
      <t>kg-CO</t>
    </r>
    <r>
      <rPr>
        <vertAlign val="subscript"/>
        <sz val="10"/>
        <color rgb="FF000000"/>
        <rFont val="Calibri"/>
        <family val="2"/>
      </rPr>
      <t>2</t>
    </r>
    <r>
      <rPr>
        <sz val="10"/>
        <color rgb="FF000000"/>
        <rFont val="Calibri"/>
        <family val="2"/>
      </rPr>
      <t>e / gal</t>
    </r>
  </si>
  <si>
    <t xml:space="preserve">Annual transportation carbon per occupant </t>
  </si>
  <si>
    <t xml:space="preserve">In most cases, it's desirable to increase a site's vegetated area. </t>
  </si>
  <si>
    <t>Post-Development</t>
  </si>
  <si>
    <t>Pre-Development</t>
  </si>
  <si>
    <t xml:space="preserve">A greater percentage of native plants and a smaller percentage of turf grass is usually preferable. 
</t>
  </si>
  <si>
    <t>Other:</t>
  </si>
  <si>
    <r>
      <t xml:space="preserve">Water Use Intensity by Building Type </t>
    </r>
    <r>
      <rPr>
        <sz val="10"/>
        <color rgb="FF000000"/>
        <rFont val="Calibri"/>
        <family val="2"/>
      </rPr>
      <t xml:space="preserve">(gal / sf / yr - except where noted) </t>
    </r>
  </si>
  <si>
    <t>Water Use Intensity</t>
  </si>
  <si>
    <t>Building Type</t>
  </si>
  <si>
    <t>Low</t>
  </si>
  <si>
    <t>High</t>
  </si>
  <si>
    <t>Education</t>
  </si>
  <si>
    <t xml:space="preserve">Daily Avg Occupancy </t>
  </si>
  <si>
    <t>Enclosed and strip malls</t>
  </si>
  <si>
    <t>Annual days of operations</t>
  </si>
  <si>
    <t>Grocery Store</t>
  </si>
  <si>
    <t>Inpatient</t>
  </si>
  <si>
    <t>Typical Flow Rates</t>
  </si>
  <si>
    <t>Lodging</t>
  </si>
  <si>
    <t>Mercantile</t>
  </si>
  <si>
    <t xml:space="preserve">Residential </t>
  </si>
  <si>
    <t>Commercial</t>
  </si>
  <si>
    <t>Multifamily Housing</t>
  </si>
  <si>
    <t>Office</t>
  </si>
  <si>
    <t>Toilet</t>
  </si>
  <si>
    <t>Outpatient</t>
  </si>
  <si>
    <t>Sink</t>
  </si>
  <si>
    <t>Urinal*</t>
  </si>
  <si>
    <t>Public Assembly</t>
  </si>
  <si>
    <t>Shower</t>
  </si>
  <si>
    <t>Public order and safety</t>
  </si>
  <si>
    <t>Urinal</t>
  </si>
  <si>
    <t>x</t>
  </si>
  <si>
    <t>Lavatory</t>
  </si>
  <si>
    <t>Religious Worship</t>
  </si>
  <si>
    <t>Kitchen Sink</t>
  </si>
  <si>
    <t>Kitchen faucet</t>
  </si>
  <si>
    <t>Restaurant</t>
  </si>
  <si>
    <t>Retail</t>
  </si>
  <si>
    <t>The table to the left contains values that are +/- 25% from the benchmark.</t>
  </si>
  <si>
    <t>Senior Care</t>
  </si>
  <si>
    <t>Warehouse and storage</t>
  </si>
  <si>
    <t>Single Family Residential</t>
  </si>
  <si>
    <t>300 gal / household / day</t>
  </si>
  <si>
    <t>Turf</t>
  </si>
  <si>
    <t>Month</t>
  </si>
  <si>
    <t>January</t>
  </si>
  <si>
    <t>Trees</t>
  </si>
  <si>
    <t>February</t>
  </si>
  <si>
    <t>Shrubs</t>
  </si>
  <si>
    <t>March</t>
  </si>
  <si>
    <t>Native plants</t>
  </si>
  <si>
    <t>April</t>
  </si>
  <si>
    <t>May</t>
  </si>
  <si>
    <t>June</t>
  </si>
  <si>
    <t>July</t>
  </si>
  <si>
    <t>August</t>
  </si>
  <si>
    <t>September</t>
  </si>
  <si>
    <t>October</t>
  </si>
  <si>
    <t>November</t>
  </si>
  <si>
    <t>December</t>
  </si>
  <si>
    <t>Cooling tower water use intensity</t>
  </si>
  <si>
    <t>Does the cooling tower use potable water?</t>
  </si>
  <si>
    <t>In most cases, the lower percent of potable water uses, the better.</t>
  </si>
  <si>
    <r>
      <t>Demand</t>
    </r>
    <r>
      <rPr>
        <b/>
        <vertAlign val="superscript"/>
        <sz val="10"/>
        <color rgb="FF000000"/>
        <rFont val="Calibri"/>
        <family val="2"/>
      </rPr>
      <t>1</t>
    </r>
  </si>
  <si>
    <t>Potable</t>
  </si>
  <si>
    <t>Total</t>
  </si>
  <si>
    <t>Predicted</t>
  </si>
  <si>
    <t>Measured</t>
  </si>
  <si>
    <t xml:space="preserve">This table shows how the predicted water use from the calculators above compares with the benchmark.
</t>
  </si>
  <si>
    <t>Benchmark</t>
  </si>
  <si>
    <t>Step 1: Choose the applicable stormwater event from the dropdown and enter the corresponding inches of rainfall. You can use the table to the right or you can use historical rainfall data to calculate an appropriate percentile rain event. 
Step 2: Enter the total volume of onsite storage, either a cistern or a retention pond. 
Step 3: Enter the area for each site surface type.</t>
  </si>
  <si>
    <t>2yr 24h Storm Events</t>
  </si>
  <si>
    <t>Inch</t>
  </si>
  <si>
    <t>Surface</t>
  </si>
  <si>
    <t>Runoff Co.</t>
  </si>
  <si>
    <t xml:space="preserve">Storm Events </t>
  </si>
  <si>
    <t>Type of Storm Event</t>
  </si>
  <si>
    <t xml:space="preserve">Storm Event </t>
  </si>
  <si>
    <t>in</t>
  </si>
  <si>
    <t>Atlanta</t>
  </si>
  <si>
    <t>Metal Roof</t>
  </si>
  <si>
    <t>0.90 - 0.95</t>
  </si>
  <si>
    <t>Storm Event</t>
  </si>
  <si>
    <t>ft</t>
  </si>
  <si>
    <t>Chicago</t>
  </si>
  <si>
    <t>Asphalt Roof</t>
  </si>
  <si>
    <t>0.85 - 0.90</t>
  </si>
  <si>
    <t>cf</t>
  </si>
  <si>
    <t>Cleveland</t>
  </si>
  <si>
    <t>Gravel Roof</t>
  </si>
  <si>
    <t>0.80 - 0.85</t>
  </si>
  <si>
    <t>Dallas</t>
  </si>
  <si>
    <t>Green Roof</t>
  </si>
  <si>
    <t>0.25 - 0.50</t>
  </si>
  <si>
    <t>Area (sf)</t>
  </si>
  <si>
    <t>Stormwater (cf)</t>
  </si>
  <si>
    <t>Total Runoff (cf)</t>
  </si>
  <si>
    <t>Denver</t>
  </si>
  <si>
    <t>Concrete</t>
  </si>
  <si>
    <t>0.70 - 0.95</t>
  </si>
  <si>
    <t xml:space="preserve">Runoff </t>
  </si>
  <si>
    <t>Roof</t>
  </si>
  <si>
    <t>Helena</t>
  </si>
  <si>
    <t>Asphalt</t>
  </si>
  <si>
    <t>Houston</t>
  </si>
  <si>
    <t>Bricks</t>
  </si>
  <si>
    <t>0.70 - 0.85</t>
  </si>
  <si>
    <t xml:space="preserve">This resource goes into detail on surface conditions and soil type </t>
  </si>
  <si>
    <t>Las Vegas</t>
  </si>
  <si>
    <t>Pavers</t>
  </si>
  <si>
    <t>0.60 - 0.80</t>
  </si>
  <si>
    <t>Los Angeles</t>
  </si>
  <si>
    <t>0.15- 0.30</t>
  </si>
  <si>
    <t>Memphis</t>
  </si>
  <si>
    <t>0.05 - 0.25</t>
  </si>
  <si>
    <t>Sub Total</t>
  </si>
  <si>
    <t>Miami</t>
  </si>
  <si>
    <t>Sandy soil</t>
  </si>
  <si>
    <t>After Storage</t>
  </si>
  <si>
    <t>New York</t>
  </si>
  <si>
    <t>Clay-y soil</t>
  </si>
  <si>
    <t>0.15 - 0.45</t>
  </si>
  <si>
    <t>Percentage of Stormwater Managed On-site</t>
  </si>
  <si>
    <t>Philadelphia</t>
  </si>
  <si>
    <t>Forest</t>
  </si>
  <si>
    <t xml:space="preserve">Choose the most applicable option from the dropdown. This is a simple way to self assess the quality of stormwater leaving the site. </t>
  </si>
  <si>
    <t>Water Quality</t>
  </si>
  <si>
    <t>Estimated Water Runoff Quality</t>
  </si>
  <si>
    <t>Parking areas</t>
  </si>
  <si>
    <t>Hardscape</t>
  </si>
  <si>
    <t>Natural filtration (bio-swales or retention ponds)</t>
  </si>
  <si>
    <t>Mechanically filtered and released</t>
  </si>
  <si>
    <t>Enter the published cost to construct similar buildings in the region and list the source.</t>
  </si>
  <si>
    <t>BOMA maintenance costs</t>
  </si>
  <si>
    <t>Benchmark - Building Type Specific</t>
  </si>
  <si>
    <t>Benchmark Source</t>
  </si>
  <si>
    <t>Actual construction cost</t>
  </si>
  <si>
    <t xml:space="preserve">There are many design strategies for reducing building operating costs. Include design strategies, along with their estimated numerical impact here. This should be pretty rough and is most valuable as a thought exercise. The cost savings from utilities are already populated.
</t>
  </si>
  <si>
    <t>US Office Building O+M Cost Benchmarks 
(BOMA Report 2016)</t>
  </si>
  <si>
    <t xml:space="preserve">Utilities </t>
  </si>
  <si>
    <t>/sf/yr</t>
  </si>
  <si>
    <t>From utility savings</t>
  </si>
  <si>
    <t>Major Strategy</t>
  </si>
  <si>
    <t>Administrative</t>
  </si>
  <si>
    <t>From cleaning</t>
  </si>
  <si>
    <t>Cleaning</t>
  </si>
  <si>
    <t>Parking</t>
  </si>
  <si>
    <t>Other</t>
  </si>
  <si>
    <t>Roads and grounds</t>
  </si>
  <si>
    <t>Repairs and maintenance</t>
  </si>
  <si>
    <t xml:space="preserve">An efficient building will use fewer resources to construct, operate, and maintain. Enter the typical building efficiency ratio for the building type as a benchmark, the source of the benchmark, and the efficiency ratio achieved. </t>
  </si>
  <si>
    <t>GSA Workspace Utilization and Allocation</t>
  </si>
  <si>
    <t>Efficiency ratio Benchmark - Building Type Specific</t>
  </si>
  <si>
    <t xml:space="preserve">Efficiency ratio achieved </t>
  </si>
  <si>
    <t xml:space="preserve">Efficiency ratio percent improvement </t>
  </si>
  <si>
    <t>Benchmarks will auto-fill from the Introduction or the Reference Tables tab.</t>
  </si>
  <si>
    <t xml:space="preserve">Other: </t>
  </si>
  <si>
    <t>What is the tool version?</t>
  </si>
  <si>
    <t>See the benchmarking page for reasonable ranges.</t>
  </si>
  <si>
    <t>Natural Gas</t>
  </si>
  <si>
    <t>kWh</t>
  </si>
  <si>
    <t>MBtu</t>
  </si>
  <si>
    <t>kLbs</t>
  </si>
  <si>
    <t>Lbs</t>
  </si>
  <si>
    <t>Energy Unit</t>
  </si>
  <si>
    <t>kBtu</t>
  </si>
  <si>
    <t>GJ</t>
  </si>
  <si>
    <t>MWh</t>
  </si>
  <si>
    <t>MLbs</t>
  </si>
  <si>
    <t>Therms</t>
  </si>
  <si>
    <t>kg</t>
  </si>
  <si>
    <t>Ton Hours</t>
  </si>
  <si>
    <t>ccf</t>
  </si>
  <si>
    <t>kBTU Conversion Factor</t>
  </si>
  <si>
    <t>kcf</t>
  </si>
  <si>
    <t>Cubic Meters</t>
  </si>
  <si>
    <t>Operational Carbon</t>
  </si>
  <si>
    <t>Installed (LPD)</t>
  </si>
  <si>
    <t>W/sf</t>
  </si>
  <si>
    <t>Benchmark (LPD)</t>
  </si>
  <si>
    <t>LPD Reduction</t>
  </si>
  <si>
    <t>30% to 40% is ideal. A higher WWR will significantly increase energy use without improving daylighting.</t>
  </si>
  <si>
    <t>North</t>
  </si>
  <si>
    <t>East</t>
  </si>
  <si>
    <t>South</t>
  </si>
  <si>
    <t>West</t>
  </si>
  <si>
    <t>Building Aggregate</t>
  </si>
  <si>
    <t>Operable Windows</t>
  </si>
  <si>
    <t>Views</t>
  </si>
  <si>
    <t>Daylight</t>
  </si>
  <si>
    <t>Glare</t>
  </si>
  <si>
    <t>Total area of regularly occupied space</t>
  </si>
  <si>
    <t>Good</t>
  </si>
  <si>
    <t>&gt;75%</t>
  </si>
  <si>
    <t>&gt;65%</t>
  </si>
  <si>
    <t>&gt;10%</t>
  </si>
  <si>
    <t>Percent of building that is regularly occupied</t>
  </si>
  <si>
    <t>&gt;90%</t>
  </si>
  <si>
    <t>2-10%</t>
  </si>
  <si>
    <t>Area with quality views</t>
  </si>
  <si>
    <t>&gt;85%</t>
  </si>
  <si>
    <t>&lt;2%</t>
  </si>
  <si>
    <t>Daylit area (sDA 300/50%)</t>
  </si>
  <si>
    <t>Input information on indoor air quality measurements.</t>
  </si>
  <si>
    <t>Contaminant</t>
  </si>
  <si>
    <t>All Spaces</t>
  </si>
  <si>
    <t>Healthcare</t>
  </si>
  <si>
    <t>ppm</t>
  </si>
  <si>
    <t>Particulates</t>
  </si>
  <si>
    <r>
      <t>PM</t>
    </r>
    <r>
      <rPr>
        <vertAlign val="subscript"/>
        <sz val="10"/>
        <color rgb="FF000000"/>
        <rFont val="Calibri"/>
        <family val="2"/>
      </rPr>
      <t xml:space="preserve">10 </t>
    </r>
  </si>
  <si>
    <r>
      <t>ug/m</t>
    </r>
    <r>
      <rPr>
        <vertAlign val="superscript"/>
        <sz val="10"/>
        <color rgb="FF000000"/>
        <rFont val="Calibri"/>
        <family val="2"/>
      </rPr>
      <t>3</t>
    </r>
  </si>
  <si>
    <r>
      <t>PM</t>
    </r>
    <r>
      <rPr>
        <vertAlign val="subscript"/>
        <sz val="10"/>
        <color rgb="FF000000"/>
        <rFont val="Calibri"/>
        <family val="2"/>
      </rPr>
      <t>2.5</t>
    </r>
    <r>
      <rPr>
        <sz val="10"/>
        <color rgb="FF000000"/>
        <rFont val="Calibri"/>
        <family val="2"/>
      </rPr>
      <t xml:space="preserve"> </t>
    </r>
  </si>
  <si>
    <t>Ozone</t>
  </si>
  <si>
    <r>
      <t>O</t>
    </r>
    <r>
      <rPr>
        <vertAlign val="subscript"/>
        <sz val="10"/>
        <color rgb="FF000000"/>
        <rFont val="Calibri"/>
        <family val="2"/>
      </rPr>
      <t>3</t>
    </r>
  </si>
  <si>
    <t>Carbon monoxide</t>
  </si>
  <si>
    <t>CO</t>
  </si>
  <si>
    <t>ppb</t>
  </si>
  <si>
    <t>VOCs</t>
  </si>
  <si>
    <t>Formaldehyde</t>
  </si>
  <si>
    <r>
      <t>CH</t>
    </r>
    <r>
      <rPr>
        <vertAlign val="subscript"/>
        <sz val="10"/>
        <color rgb="FF000000"/>
        <rFont val="Calibri"/>
        <family val="2"/>
      </rPr>
      <t>2</t>
    </r>
    <r>
      <rPr>
        <sz val="10"/>
        <color rgb="FF000000"/>
        <rFont val="Calibri"/>
        <family val="2"/>
      </rPr>
      <t>O</t>
    </r>
  </si>
  <si>
    <t xml:space="preserve">             </t>
  </si>
  <si>
    <t xml:space="preserve">There are a variety of tools for estimating the embodied carbon of an entire building. The simplest is Build Carbon Neutral, which only takes a few minutes and inputs. For a more detailed analysis, try Tally or Athena </t>
  </si>
  <si>
    <r>
      <t>kg CO</t>
    </r>
    <r>
      <rPr>
        <vertAlign val="subscript"/>
        <sz val="10"/>
        <color rgb="FF000000"/>
        <rFont val="Calibri"/>
        <family val="2"/>
      </rPr>
      <t>2</t>
    </r>
    <r>
      <rPr>
        <sz val="10"/>
        <color rgb="FF000000"/>
        <rFont val="Calibri"/>
        <family val="2"/>
      </rPr>
      <t>e/sf</t>
    </r>
  </si>
  <si>
    <t>Avg</t>
  </si>
  <si>
    <t>Was embodied carbon modeled?</t>
  </si>
  <si>
    <t xml:space="preserve">Single family </t>
  </si>
  <si>
    <t>Multifamily low-rise</t>
  </si>
  <si>
    <t>Total Predicted Embodied Carbon</t>
  </si>
  <si>
    <r>
      <t>kg CO</t>
    </r>
    <r>
      <rPr>
        <vertAlign val="subscript"/>
        <sz val="10"/>
        <color rgb="FF000000"/>
        <rFont val="Calibri"/>
        <family val="2"/>
      </rPr>
      <t>2</t>
    </r>
    <r>
      <rPr>
        <sz val="10"/>
        <color rgb="FF000000"/>
        <rFont val="Calibri"/>
        <family val="2"/>
      </rPr>
      <t>e</t>
    </r>
  </si>
  <si>
    <t>Multifamily mid-rise</t>
  </si>
  <si>
    <t>Build Carbon Neutral</t>
  </si>
  <si>
    <t>kg/m2 to lb/ft2</t>
  </si>
  <si>
    <t>Embodied Carbon Intensity</t>
  </si>
  <si>
    <t>Multifamily high-rise</t>
  </si>
  <si>
    <t>Carbon Leadership Forum</t>
  </si>
  <si>
    <t>Educational</t>
  </si>
  <si>
    <t>Cultural/Institutional</t>
  </si>
  <si>
    <t>kg/m2 to kg/ft2</t>
  </si>
  <si>
    <t>Civic building</t>
  </si>
  <si>
    <t>Industrial</t>
  </si>
  <si>
    <t>Product (A1-A3)</t>
  </si>
  <si>
    <t>End of Life (C1-C4)</t>
  </si>
  <si>
    <t>Construction (A4-A5)</t>
  </si>
  <si>
    <t>Beyond (D)</t>
  </si>
  <si>
    <t>Mixed Use (Residential/Office/Retail)</t>
  </si>
  <si>
    <t>Use (B1-B5)</t>
  </si>
  <si>
    <t>Substructure</t>
  </si>
  <si>
    <t>MEP Systems</t>
  </si>
  <si>
    <t>Structural System Type</t>
  </si>
  <si>
    <t>Superstructure</t>
  </si>
  <si>
    <t>Site/Landscape</t>
  </si>
  <si>
    <t>Enclosure</t>
  </si>
  <si>
    <t>Steel</t>
  </si>
  <si>
    <t>Interiors</t>
  </si>
  <si>
    <t>Timber</t>
  </si>
  <si>
    <r>
      <t>Major Structural System?</t>
    </r>
    <r>
      <rPr>
        <vertAlign val="superscript"/>
        <sz val="10"/>
        <color rgb="FF000000"/>
        <rFont val="Calibri"/>
        <family val="2"/>
      </rPr>
      <t>(?)</t>
    </r>
  </si>
  <si>
    <t>Masonry</t>
  </si>
  <si>
    <t>Composite Concrete - Steel</t>
  </si>
  <si>
    <t>For materials with EPDs or similar certification, the more the better.</t>
  </si>
  <si>
    <t xml:space="preserve">Whenever possible, existing buildings should be reused. </t>
  </si>
  <si>
    <t xml:space="preserve">Weighing and recording dumpster fills during construction is best practice, but a good estimate will do as well.  </t>
  </si>
  <si>
    <t>Percent Waste Diverted</t>
  </si>
  <si>
    <t>50% - Good</t>
  </si>
  <si>
    <t>75% - Better</t>
  </si>
  <si>
    <t>90% - Best!</t>
  </si>
  <si>
    <t>Total Construction Cost</t>
  </si>
  <si>
    <t>Total Materials Cost</t>
  </si>
  <si>
    <t xml:space="preserve">Choose the local hazards researched </t>
  </si>
  <si>
    <t>Local Hazard Research</t>
  </si>
  <si>
    <t>Was research conducted on the most likely local hazards?</t>
  </si>
  <si>
    <t>Fine</t>
  </si>
  <si>
    <t>Hail</t>
  </si>
  <si>
    <t>Earthquakes</t>
  </si>
  <si>
    <t>Social Unrest</t>
  </si>
  <si>
    <t>Drought</t>
  </si>
  <si>
    <t>Power Outage</t>
  </si>
  <si>
    <t>Extreme Temperatures</t>
  </si>
  <si>
    <t>Grid Instability</t>
  </si>
  <si>
    <t>&gt;5</t>
  </si>
  <si>
    <t>Flooding</t>
  </si>
  <si>
    <t>Research Score</t>
  </si>
  <si>
    <t>Passive Functionality</t>
  </si>
  <si>
    <t xml:space="preserve"> Choose passive functionality</t>
  </si>
  <si>
    <t>Type of Backup Power</t>
  </si>
  <si>
    <t>Input the building's design lifespan. The design lifespan is based on a variety of design choices such as material durability, functional adaptability, and water management.</t>
  </si>
  <si>
    <t>Building Design Lifespan</t>
  </si>
  <si>
    <t>30 year</t>
  </si>
  <si>
    <t>Market rate stick frame</t>
  </si>
  <si>
    <t>50 years</t>
  </si>
  <si>
    <t>Typical single family</t>
  </si>
  <si>
    <t>Was the building designed for disassembly?</t>
  </si>
  <si>
    <t>200 years</t>
  </si>
  <si>
    <t>Concrete, Steel, or Heavy timber</t>
  </si>
  <si>
    <t>1000 years</t>
  </si>
  <si>
    <t>Solid Masonry</t>
  </si>
  <si>
    <t>For the most part, the longer the lifespan, the better.</t>
  </si>
  <si>
    <t>The higher the score, the better</t>
  </si>
  <si>
    <t>Which of the following did you do to stay engaged with the building?</t>
  </si>
  <si>
    <t>Basic Commissioning</t>
  </si>
  <si>
    <t>Enhanced Commissioning (Third Party)</t>
  </si>
  <si>
    <t>Enclosure Commissioning</t>
  </si>
  <si>
    <t>Commissioning Score</t>
  </si>
  <si>
    <t>Select all the post occupancy strategies that were employed.</t>
  </si>
  <si>
    <t>Post Occupancy Evaluation Score</t>
  </si>
  <si>
    <t>Select all the transparency strategies that were employed.</t>
  </si>
  <si>
    <t>Which of the following did you do to share the lessons of the project?</t>
  </si>
  <si>
    <t>Present the design of the project to the office</t>
  </si>
  <si>
    <t xml:space="preserve">Present outcomes and lessons learned to the office </t>
  </si>
  <si>
    <t>Present the design of the project to the profession</t>
  </si>
  <si>
    <t xml:space="preserve">Present outcomes and lessons learned to the profession </t>
  </si>
  <si>
    <t>Present the design of the project to the public</t>
  </si>
  <si>
    <t xml:space="preserve">Present outcomes and lessons learned to the public </t>
  </si>
  <si>
    <t>Publish any lessons learned from design, construction, or occupancy</t>
  </si>
  <si>
    <t>other:</t>
  </si>
  <si>
    <t>Transparency Score</t>
  </si>
  <si>
    <t>Select the level of occupancy feedback.</t>
  </si>
  <si>
    <t>Nobody</t>
  </si>
  <si>
    <t xml:space="preserve">Baseline </t>
  </si>
  <si>
    <t>Building Operator</t>
  </si>
  <si>
    <t>Who has access to performance feedback?</t>
  </si>
  <si>
    <t>Architect</t>
  </si>
  <si>
    <t>Occupants who specifically request it</t>
  </si>
  <si>
    <t>Most occupants</t>
  </si>
  <si>
    <t>Feedback Score</t>
  </si>
  <si>
    <t>All occupants are presented with feedback</t>
  </si>
  <si>
    <r>
      <t>kg-C0</t>
    </r>
    <r>
      <rPr>
        <vertAlign val="subscript"/>
        <sz val="10"/>
        <color rgb="FF000000"/>
        <rFont val="Calibri"/>
        <family val="2"/>
      </rPr>
      <t>2</t>
    </r>
    <r>
      <rPr>
        <sz val="10"/>
        <color rgb="FF000000"/>
        <rFont val="Calibri"/>
        <family val="2"/>
      </rPr>
      <t>e / sf</t>
    </r>
  </si>
  <si>
    <t>Y/N</t>
  </si>
  <si>
    <t>`</t>
  </si>
  <si>
    <t>Response</t>
  </si>
  <si>
    <t>Very High Performance</t>
  </si>
  <si>
    <t xml:space="preserve"> </t>
  </si>
  <si>
    <t>This page compares metrics against their benchmark along a scale from "Baseline" to "Very High Performance"</t>
  </si>
  <si>
    <t>THE BIG IDEA:</t>
  </si>
  <si>
    <t>\</t>
  </si>
  <si>
    <t>&gt;50%</t>
  </si>
  <si>
    <t>No (0)</t>
  </si>
  <si>
    <t>Yes (1)</t>
  </si>
  <si>
    <t xml:space="preserve">Total kg of Carbon Dioxide Equivalents from: </t>
  </si>
  <si>
    <t>Lifespan</t>
  </si>
  <si>
    <t>Year</t>
  </si>
  <si>
    <t xml:space="preserve">Design </t>
  </si>
  <si>
    <t xml:space="preserve">Total Percentage of Carbon Dioxide Equivalents from: </t>
  </si>
  <si>
    <t>Benchmarking</t>
  </si>
  <si>
    <t>Building Type Definitions and Benchmarks</t>
  </si>
  <si>
    <t>Fuel Source Breakdowns and Water Use by Building Category</t>
  </si>
  <si>
    <t>National Average Values for Operational Carbon Emissions</t>
  </si>
  <si>
    <r>
      <t>Single Family Residential Benchmarking</t>
    </r>
    <r>
      <rPr>
        <b/>
        <vertAlign val="superscript"/>
        <sz val="10"/>
        <color rgb="FF000000"/>
        <rFont val="Calibri"/>
        <family val="2"/>
      </rPr>
      <t>1</t>
    </r>
  </si>
  <si>
    <t>Region by State</t>
  </si>
  <si>
    <t>Project-based figures noted in blue</t>
  </si>
  <si>
    <t>CBECS: Energy Consumption by source 2012</t>
  </si>
  <si>
    <t>Energy Star Portfolio Manager Emission Factors</t>
  </si>
  <si>
    <t>RECS: Annual household site fuel Consumption 2015</t>
  </si>
  <si>
    <t>AIA 2030</t>
  </si>
  <si>
    <t>CBECS Table W1. Water consumption 2012</t>
  </si>
  <si>
    <t>CBECS: Building type definitions</t>
  </si>
  <si>
    <t>EPA WaterSence - Residential Water Use</t>
  </si>
  <si>
    <t>EPA v CBECS Comparison</t>
  </si>
  <si>
    <t>*EPA Energy Start Data Trends</t>
  </si>
  <si>
    <t>**Savetexaswater.org Analsysis</t>
  </si>
  <si>
    <r>
      <t>Reference Site EUI</t>
    </r>
    <r>
      <rPr>
        <b/>
        <vertAlign val="superscript"/>
        <sz val="10"/>
        <color rgb="FF000000"/>
        <rFont val="Calibri"/>
        <family val="2"/>
      </rPr>
      <t>1,2</t>
    </r>
    <r>
      <rPr>
        <b/>
        <sz val="10"/>
        <color rgb="FF000000"/>
        <rFont val="Calibri"/>
        <family val="2"/>
      </rPr>
      <t xml:space="preserve">
(kBtu/sf/yr)</t>
    </r>
  </si>
  <si>
    <t>LPD
(W/sf)</t>
  </si>
  <si>
    <t>Building Category</t>
  </si>
  <si>
    <t>Site EUI
(kBtu/sf/yr)</t>
  </si>
  <si>
    <t>Operational Carbon Intensity
(kg-CO2e/sf/yr)</t>
  </si>
  <si>
    <r>
      <t>Reference Water Use</t>
    </r>
    <r>
      <rPr>
        <b/>
        <vertAlign val="superscript"/>
        <sz val="10"/>
        <color rgb="FF000000"/>
        <rFont val="Calibri"/>
        <family val="2"/>
      </rPr>
      <t>1</t>
    </r>
    <r>
      <rPr>
        <b/>
        <sz val="10"/>
        <color rgb="FF000000"/>
        <rFont val="Calibri"/>
        <family val="2"/>
      </rPr>
      <t xml:space="preserve"> (Gal/yr)</t>
    </r>
  </si>
  <si>
    <r>
      <t>Reference Water Use Intensity</t>
    </r>
    <r>
      <rPr>
        <b/>
        <vertAlign val="superscript"/>
        <sz val="10"/>
        <color rgb="FF000000"/>
        <rFont val="Calibri"/>
        <family val="2"/>
      </rPr>
      <t>3</t>
    </r>
    <r>
      <rPr>
        <b/>
        <sz val="10"/>
        <color rgb="FF000000"/>
        <rFont val="Calibri"/>
        <family val="2"/>
      </rPr>
      <t xml:space="preserve"> (Gal/sf/yr)</t>
    </r>
  </si>
  <si>
    <t>Electricity</t>
  </si>
  <si>
    <t>Propane</t>
  </si>
  <si>
    <t>Fuel Oil</t>
  </si>
  <si>
    <t>District Steam / Hot Water</t>
  </si>
  <si>
    <t>Water Use Intensity (Gal/sf/yr)</t>
  </si>
  <si>
    <t>Emissions Factor
(kg-CO2e/kBtu)</t>
  </si>
  <si>
    <t>Fuel Source</t>
  </si>
  <si>
    <t>Region</t>
  </si>
  <si>
    <t>Region - Type</t>
  </si>
  <si>
    <t>Annual Energy Use (kBtu/yr)</t>
  </si>
  <si>
    <t>Project-Based EUI (kBtu/sf/yr)</t>
  </si>
  <si>
    <t>Water Use Type</t>
  </si>
  <si>
    <t>Toilet
(#/person/day)</t>
  </si>
  <si>
    <t>Urinal
(#/person/day)</t>
  </si>
  <si>
    <t>Shower
(min/person/day)</t>
  </si>
  <si>
    <t>Lavatory
(min/person/day)</t>
  </si>
  <si>
    <t>Kitchen Faucet
(min/person/day)</t>
  </si>
  <si>
    <t>Reference Table Column Index</t>
  </si>
  <si>
    <t>Emissions Factor</t>
  </si>
  <si>
    <t>Bank</t>
  </si>
  <si>
    <t>Midwest</t>
  </si>
  <si>
    <t>Rural</t>
  </si>
  <si>
    <t>AL</t>
  </si>
  <si>
    <t>Bar / night club</t>
  </si>
  <si>
    <t>Public assembly</t>
  </si>
  <si>
    <t>Suburban</t>
  </si>
  <si>
    <t>AK</t>
  </si>
  <si>
    <t>Residential</t>
  </si>
  <si>
    <t>Convention Center</t>
  </si>
  <si>
    <t>Food sales</t>
  </si>
  <si>
    <t>Urban</t>
  </si>
  <si>
    <t>AZ</t>
  </si>
  <si>
    <t>Courthouse</t>
  </si>
  <si>
    <t>Food service</t>
  </si>
  <si>
    <t xml:space="preserve">Northeast </t>
  </si>
  <si>
    <t>AR</t>
  </si>
  <si>
    <t>Education - College / University</t>
  </si>
  <si>
    <t>Health care</t>
  </si>
  <si>
    <t>Northeast</t>
  </si>
  <si>
    <t>CA</t>
  </si>
  <si>
    <t>Education - K-12 School</t>
  </si>
  <si>
    <t>Education - Other</t>
  </si>
  <si>
    <t>CT</t>
  </si>
  <si>
    <t>Education - Preschool</t>
  </si>
  <si>
    <t>Residential - Multifamily</t>
  </si>
  <si>
    <t>DE</t>
  </si>
  <si>
    <t>Food - Fast Food</t>
  </si>
  <si>
    <t>Residential - Senior care</t>
  </si>
  <si>
    <t>FL</t>
  </si>
  <si>
    <t>Food - Grocery Store</t>
  </si>
  <si>
    <t>Residential - Single family</t>
  </si>
  <si>
    <t>GA</t>
  </si>
  <si>
    <t>Food - Restaurant</t>
  </si>
  <si>
    <t>HI</t>
  </si>
  <si>
    <t>Food - Sales</t>
  </si>
  <si>
    <t>ID</t>
  </si>
  <si>
    <t>Food - Service</t>
  </si>
  <si>
    <t>IL</t>
  </si>
  <si>
    <t>Laboratory</t>
  </si>
  <si>
    <t>Public safety</t>
  </si>
  <si>
    <t>IN</t>
  </si>
  <si>
    <t>Library</t>
  </si>
  <si>
    <t>Religious worship</t>
  </si>
  <si>
    <t>IA</t>
  </si>
  <si>
    <t>Lodging - Hotel</t>
  </si>
  <si>
    <t>Retail (other than mall)</t>
  </si>
  <si>
    <t>KS</t>
  </si>
  <si>
    <t>Lodging - Residence Hall</t>
  </si>
  <si>
    <t>Service</t>
  </si>
  <si>
    <t>KY</t>
  </si>
  <si>
    <t>Medical - Hospital</t>
  </si>
  <si>
    <t>LA</t>
  </si>
  <si>
    <t>Medical - Office</t>
  </si>
  <si>
    <t>ME</t>
  </si>
  <si>
    <t>Medical - Outpatient surgery</t>
  </si>
  <si>
    <t>MD</t>
  </si>
  <si>
    <t>Meeting Hall</t>
  </si>
  <si>
    <t>MA</t>
  </si>
  <si>
    <t>Movie Theater</t>
  </si>
  <si>
    <t>MI</t>
  </si>
  <si>
    <t>Museum</t>
  </si>
  <si>
    <t>MN</t>
  </si>
  <si>
    <t>MS</t>
  </si>
  <si>
    <t>Performing arts</t>
  </si>
  <si>
    <t>MO</t>
  </si>
  <si>
    <t>Post Office</t>
  </si>
  <si>
    <t>MT</t>
  </si>
  <si>
    <t>NE</t>
  </si>
  <si>
    <t>Public Safety - Police, fire, etc.</t>
  </si>
  <si>
    <t>NV</t>
  </si>
  <si>
    <t>Recreation (Visitor Center)</t>
  </si>
  <si>
    <t>NH</t>
  </si>
  <si>
    <t>NJ</t>
  </si>
  <si>
    <t>Residential - Assisted Living</t>
  </si>
  <si>
    <t>NM</t>
  </si>
  <si>
    <t>NY</t>
  </si>
  <si>
    <t>NC</t>
  </si>
  <si>
    <t>Retail - Box Store</t>
  </si>
  <si>
    <t>ND</t>
  </si>
  <si>
    <t>Retail - Convenience Store</t>
  </si>
  <si>
    <t>OH</t>
  </si>
  <si>
    <t>Retail - General</t>
  </si>
  <si>
    <t>OK</t>
  </si>
  <si>
    <t>Retail - Mall</t>
  </si>
  <si>
    <t>OR</t>
  </si>
  <si>
    <t>Self Storage</t>
  </si>
  <si>
    <t>PA</t>
  </si>
  <si>
    <t>Services - General</t>
  </si>
  <si>
    <t>RI</t>
  </si>
  <si>
    <t>Warehouse</t>
  </si>
  <si>
    <t>SC</t>
  </si>
  <si>
    <t>Warehouse - Refrigerated</t>
  </si>
  <si>
    <t>SD</t>
  </si>
  <si>
    <t>TN</t>
  </si>
  <si>
    <t>TX</t>
  </si>
  <si>
    <t>UT</t>
  </si>
  <si>
    <t>VT</t>
  </si>
  <si>
    <t>VA</t>
  </si>
  <si>
    <t>WA</t>
  </si>
  <si>
    <t>WV</t>
  </si>
  <si>
    <t>WI</t>
  </si>
  <si>
    <t>WY</t>
  </si>
  <si>
    <t>Reported Benchmark</t>
  </si>
  <si>
    <t>User-Defined Benchmark</t>
  </si>
  <si>
    <t>Program-Weighted Benchmark</t>
  </si>
  <si>
    <r>
      <t xml:space="preserve">Unaccounted Fuel Sources </t>
    </r>
    <r>
      <rPr>
        <b/>
        <vertAlign val="superscript"/>
        <sz val="10"/>
        <color rgb="FF000000"/>
        <rFont val="Calibri"/>
        <family val="2"/>
      </rPr>
      <t>(?)</t>
    </r>
  </si>
  <si>
    <t>Track Changes to the SuperSpreadsheet</t>
  </si>
  <si>
    <t>Version</t>
  </si>
  <si>
    <t>Tab</t>
  </si>
  <si>
    <t>Description</t>
  </si>
  <si>
    <t>CBECS: Energy Consumption by Building Type 2003</t>
  </si>
  <si>
    <r>
      <t>Emissions Factor
(kg-CO</t>
    </r>
    <r>
      <rPr>
        <b/>
        <vertAlign val="subscript"/>
        <sz val="10"/>
        <color rgb="FF000000"/>
        <rFont val="Calibri"/>
        <family val="2"/>
      </rPr>
      <t>2</t>
    </r>
    <r>
      <rPr>
        <b/>
        <sz val="10"/>
        <color rgb="FF000000"/>
        <rFont val="Calibri"/>
        <family val="2"/>
      </rPr>
      <t xml:space="preserve">e/kBtu)
</t>
    </r>
    <r>
      <rPr>
        <b/>
        <vertAlign val="superscript"/>
        <sz val="10"/>
        <color rgb="FF000000"/>
        <rFont val="Calibri"/>
        <family val="2"/>
      </rPr>
      <t>(?)</t>
    </r>
  </si>
  <si>
    <t>Calculators: Enter your values into the yellow cells.</t>
  </si>
  <si>
    <t xml:space="preserve">Calculators: Enter your values into the yellow cells. </t>
  </si>
  <si>
    <t>Inputs: Describe your project's big idea on integrating design and sustainability in the yellow cell below. Look at the chart below for inspiration.</t>
  </si>
  <si>
    <t>Step 1: Fill out the basic information about your project in the yellow cells.</t>
  </si>
  <si>
    <t></t>
  </si>
  <si>
    <t xml:space="preserve">1 - Design for Integration </t>
  </si>
  <si>
    <t>1.1 - What is the big idea?</t>
  </si>
  <si>
    <t>2 - Design for Equitable Communities</t>
  </si>
  <si>
    <t>2.3 - Simple Transportation Carbon Calculator</t>
  </si>
  <si>
    <t xml:space="preserve">Use this section to explain any unique situations or nonconformities with the COTE Top Ten awards requirements. </t>
  </si>
  <si>
    <t>2.4 - Nonconformity Statement</t>
  </si>
  <si>
    <t>4 - Design for Water</t>
  </si>
  <si>
    <t>Stormwater Storage</t>
  </si>
  <si>
    <t>5 - Design for Economy</t>
  </si>
  <si>
    <t>6 - Design for Energy</t>
  </si>
  <si>
    <t xml:space="preserve">5.1 - Construction Cost Benchmark </t>
  </si>
  <si>
    <t>5.3 - Building Space Efficiency</t>
  </si>
  <si>
    <t>5.4 - Nonconformity Statement</t>
  </si>
  <si>
    <t>gpf</t>
  </si>
  <si>
    <t>gpm</t>
  </si>
  <si>
    <t>Total Predicted Indoor Water Use</t>
  </si>
  <si>
    <r>
      <t>Use/Day/Occ</t>
    </r>
    <r>
      <rPr>
        <vertAlign val="superscript"/>
        <sz val="10"/>
        <color rgb="FF000000"/>
        <rFont val="Calibri"/>
        <family val="2"/>
      </rPr>
      <t xml:space="preserve"> (?)</t>
    </r>
  </si>
  <si>
    <t>Default Fixture Usage by Water Use Type</t>
  </si>
  <si>
    <t>Usage assumes 50%/50% male-female and takes duration into account.</t>
  </si>
  <si>
    <t>Design Flow Rate</t>
  </si>
  <si>
    <t>Water Use (gal)</t>
  </si>
  <si>
    <t>Daily</t>
  </si>
  <si>
    <t>Annual</t>
  </si>
  <si>
    <t>Irrigation Type</t>
  </si>
  <si>
    <t>Peak Irrigation Month</t>
  </si>
  <si>
    <t>Average Monthly Rainfall</t>
  </si>
  <si>
    <t>Monthly Evapotranspiration (ETo)</t>
  </si>
  <si>
    <t>Use EPA's Water Budget Data Finder Site</t>
  </si>
  <si>
    <t>to enter region specific ETo and rainfall</t>
  </si>
  <si>
    <t>Groundcover</t>
  </si>
  <si>
    <t>Pool, Spa, Water Feature</t>
  </si>
  <si>
    <t>Medium</t>
  </si>
  <si>
    <r>
      <t>Water Requirements  (K</t>
    </r>
    <r>
      <rPr>
        <b/>
        <vertAlign val="subscript"/>
        <sz val="10"/>
        <color rgb="FF000000"/>
        <rFont val="Calibri"/>
        <family val="2"/>
      </rPr>
      <t>L</t>
    </r>
    <r>
      <rPr>
        <b/>
        <sz val="10"/>
        <color rgb="FF000000"/>
        <rFont val="Calibri"/>
        <family val="2"/>
      </rPr>
      <t>)</t>
    </r>
  </si>
  <si>
    <t>Fixed Spray</t>
  </si>
  <si>
    <t>Microspray</t>
  </si>
  <si>
    <t>Drip - Standard</t>
  </si>
  <si>
    <t>Drip - Press Comp</t>
  </si>
  <si>
    <t>Drip-Std</t>
  </si>
  <si>
    <t>Drip-Press</t>
  </si>
  <si>
    <t>Fixed</t>
  </si>
  <si>
    <t>Micro</t>
  </si>
  <si>
    <t>Irrigation Calculation Methodology</t>
  </si>
  <si>
    <t>Source: EPA WaterSense Budget Tool</t>
  </si>
  <si>
    <r>
      <t>K</t>
    </r>
    <r>
      <rPr>
        <b/>
        <vertAlign val="subscript"/>
        <sz val="10"/>
        <color rgb="FF000000"/>
        <rFont val="Calibri"/>
        <family val="2"/>
      </rPr>
      <t>L</t>
    </r>
  </si>
  <si>
    <t>Are landscape features irrigated?</t>
  </si>
  <si>
    <t>Must Equal Total Irrigated Area</t>
  </si>
  <si>
    <t>Total Irrigated Area (Potable and/or Non-Potable)</t>
  </si>
  <si>
    <t>Rotor/Rotating Nozzles</t>
  </si>
  <si>
    <t>Not Applicable</t>
  </si>
  <si>
    <r>
      <t>DU</t>
    </r>
    <r>
      <rPr>
        <b/>
        <vertAlign val="subscript"/>
        <sz val="10"/>
        <color rgb="FF000000"/>
        <rFont val="Calibri"/>
        <family val="2"/>
      </rPr>
      <t>LQ</t>
    </r>
    <r>
      <rPr>
        <b/>
        <sz val="10"/>
        <color rgb="FF000000"/>
        <rFont val="Calibri"/>
        <family val="2"/>
      </rPr>
      <t xml:space="preserve"> </t>
    </r>
    <r>
      <rPr>
        <b/>
        <vertAlign val="superscript"/>
        <sz val="10"/>
        <color rgb="FF000000"/>
        <rFont val="Calibri"/>
        <family val="2"/>
      </rPr>
      <t>3</t>
    </r>
  </si>
  <si>
    <t>Hydrozone Area (SF)</t>
  </si>
  <si>
    <t>Percent Reduction in Outdoor Water Use</t>
  </si>
  <si>
    <t>Monthly</t>
  </si>
  <si>
    <r>
      <t>LWR</t>
    </r>
    <r>
      <rPr>
        <b/>
        <vertAlign val="subscript"/>
        <sz val="10"/>
        <color rgb="FF000000"/>
        <rFont val="Calibri"/>
        <family val="2"/>
      </rPr>
      <t>H</t>
    </r>
    <r>
      <rPr>
        <b/>
        <sz val="10"/>
        <color rgb="FF000000"/>
        <rFont val="Calibri"/>
        <family val="2"/>
      </rPr>
      <t xml:space="preserve"> for Hydrozone (gal)</t>
    </r>
  </si>
  <si>
    <t>Total Landscape Water Requirement (LWR)</t>
  </si>
  <si>
    <t>Percent of the building cooled by a water-cooled chiller</t>
  </si>
  <si>
    <r>
      <t>x</t>
    </r>
    <r>
      <rPr>
        <vertAlign val="superscript"/>
        <sz val="10"/>
        <color theme="1" tint="0.499984740745262"/>
        <rFont val="Calibri"/>
        <family val="2"/>
      </rPr>
      <t>2</t>
    </r>
  </si>
  <si>
    <r>
      <t>Distributed Uniformity (DU</t>
    </r>
    <r>
      <rPr>
        <b/>
        <vertAlign val="subscript"/>
        <sz val="10"/>
        <color rgb="FF000000"/>
        <rFont val="Calibri"/>
        <family val="2"/>
      </rPr>
      <t xml:space="preserve"> LQ </t>
    </r>
    <r>
      <rPr>
        <b/>
        <sz val="10"/>
        <color rgb="FF000000"/>
        <rFont val="Calibri"/>
        <family val="2"/>
      </rPr>
      <t xml:space="preserve">) </t>
    </r>
    <r>
      <rPr>
        <b/>
        <vertAlign val="superscript"/>
        <sz val="10"/>
        <color rgb="FF000000"/>
        <rFont val="Calibri"/>
        <family val="2"/>
      </rPr>
      <t>1</t>
    </r>
  </si>
  <si>
    <t>Landscape Type</t>
  </si>
  <si>
    <t>Allowable Irrigation Type</t>
  </si>
  <si>
    <t>Total Annual (gal)</t>
  </si>
  <si>
    <t>Percent of Demand</t>
  </si>
  <si>
    <r>
      <t>Measured</t>
    </r>
    <r>
      <rPr>
        <sz val="10"/>
        <color rgb="FF000000"/>
        <rFont val="Calibri"/>
        <family val="2"/>
      </rPr>
      <t xml:space="preserve"> (gal)</t>
    </r>
  </si>
  <si>
    <r>
      <t>Predicted</t>
    </r>
    <r>
      <rPr>
        <sz val="10"/>
        <color rgb="FF000000"/>
        <rFont val="Calibri"/>
        <family val="2"/>
      </rPr>
      <t xml:space="preserve"> (gal)</t>
    </r>
  </si>
  <si>
    <r>
      <t xml:space="preserve">Reclaimed </t>
    </r>
    <r>
      <rPr>
        <b/>
        <vertAlign val="superscript"/>
        <sz val="10"/>
        <color rgb="FF000000"/>
        <rFont val="Calibri"/>
        <family val="2"/>
      </rPr>
      <t>3</t>
    </r>
  </si>
  <si>
    <r>
      <t xml:space="preserve">Rainwater </t>
    </r>
    <r>
      <rPr>
        <b/>
        <vertAlign val="superscript"/>
        <sz val="10"/>
        <color rgb="FF000000"/>
        <rFont val="Calibri"/>
        <family val="2"/>
      </rPr>
      <t>3</t>
    </r>
  </si>
  <si>
    <r>
      <t xml:space="preserve">Potable </t>
    </r>
    <r>
      <rPr>
        <b/>
        <vertAlign val="superscript"/>
        <sz val="10"/>
        <color rgb="FF000000"/>
        <rFont val="Calibri"/>
        <family val="2"/>
      </rPr>
      <t>2</t>
    </r>
  </si>
  <si>
    <t>Runoff Type</t>
  </si>
  <si>
    <t>gal</t>
  </si>
  <si>
    <t>Turfgrass</t>
  </si>
  <si>
    <t>Peak Irrigation Monthly Baseline</t>
  </si>
  <si>
    <t>Annual Potable Water Use</t>
  </si>
  <si>
    <t xml:space="preserve">Total </t>
  </si>
  <si>
    <t xml:space="preserve">Per Occupant </t>
  </si>
  <si>
    <t>(gal/occupant/yr)</t>
  </si>
  <si>
    <t xml:space="preserve"> (gal/sf/yr)</t>
  </si>
  <si>
    <t xml:space="preserve">Predicted </t>
  </si>
  <si>
    <t>(gal/yr)</t>
  </si>
  <si>
    <t xml:space="preserve">Nation Average - Buildings with cooling towers use 7 gallons of water more (per sf annually) than those without. 
</t>
  </si>
  <si>
    <r>
      <t xml:space="preserve">Were strategies taken to conserve cooling tower water? </t>
    </r>
    <r>
      <rPr>
        <vertAlign val="superscript"/>
        <sz val="10"/>
        <color rgb="FF000000"/>
        <rFont val="Calibri"/>
        <family val="2"/>
      </rPr>
      <t>1</t>
    </r>
  </si>
  <si>
    <t xml:space="preserve">This section is an extremely rough estimate of the water consumption of a cooling tower.      
1 - Assume: 0 water for non-potable use, 25% less water for conservation strategies. Examples of strategies for conserving cooling tower water include: using alternative sources of water, optimizing the cycles of concentration and minimizing bleed volume, minimizing drift, and preventing overflows and leaks.                                                                                                                                                                                                                                                                    </t>
  </si>
  <si>
    <t>Carbon Conversion Factor</t>
  </si>
  <si>
    <t>6.5 -  Lighting Power Density (LPD)</t>
  </si>
  <si>
    <t>Annual Energy by Fuel Type</t>
  </si>
  <si>
    <t>Monthly Energy Data by Fuel Type</t>
  </si>
  <si>
    <r>
      <t>kg-CO</t>
    </r>
    <r>
      <rPr>
        <vertAlign val="subscript"/>
        <sz val="10"/>
        <color rgb="FF000000"/>
        <rFont val="Calibri"/>
        <family val="2"/>
      </rPr>
      <t>2</t>
    </r>
    <r>
      <rPr>
        <sz val="10"/>
        <color rgb="FF000000"/>
        <rFont val="Calibri"/>
        <family val="2"/>
      </rPr>
      <t>e/yr</t>
    </r>
  </si>
  <si>
    <t>kBtu/yr</t>
  </si>
  <si>
    <t>kBtu/sf/yr</t>
  </si>
  <si>
    <t>$</t>
  </si>
  <si>
    <r>
      <t xml:space="preserve">8.1 - Operational Carbon </t>
    </r>
    <r>
      <rPr>
        <b/>
        <i/>
        <sz val="10"/>
        <color rgb="FFFFFFFF"/>
        <rFont val="Calibri"/>
        <family val="2"/>
      </rPr>
      <t>(Reference from 6-Energy)</t>
    </r>
  </si>
  <si>
    <t>10.1 - Level of Commissioning</t>
  </si>
  <si>
    <t>10.2 - Level of Post Occupancy Engagement</t>
  </si>
  <si>
    <t>10.3 - Level of Transparency</t>
  </si>
  <si>
    <t>10.4 - Level of Occupant Feedback</t>
  </si>
  <si>
    <t>Use Dropdown to make selection.</t>
  </si>
  <si>
    <r>
      <t>kg CO</t>
    </r>
    <r>
      <rPr>
        <vertAlign val="subscript"/>
        <sz val="10"/>
        <color rgb="FF000000"/>
        <rFont val="Calibri"/>
        <family val="2"/>
      </rPr>
      <t>2</t>
    </r>
    <r>
      <rPr>
        <sz val="10"/>
        <color rgb="FF000000"/>
        <rFont val="Calibri"/>
        <family val="2"/>
      </rPr>
      <t>e/yr</t>
    </r>
  </si>
  <si>
    <r>
      <t>kg CO</t>
    </r>
    <r>
      <rPr>
        <vertAlign val="subscript"/>
        <sz val="10"/>
        <color rgb="FF000000"/>
        <rFont val="Calibri"/>
        <family val="2"/>
      </rPr>
      <t>2</t>
    </r>
    <r>
      <rPr>
        <sz val="10"/>
        <color rgb="FF000000"/>
        <rFont val="Calibri"/>
        <family val="2"/>
      </rPr>
      <t>e/sf/yr</t>
    </r>
  </si>
  <si>
    <t>7 - Design for Well-Being</t>
  </si>
  <si>
    <t>7.3 - Indoor Air Quality Management</t>
  </si>
  <si>
    <t>Max. Concentration</t>
  </si>
  <si>
    <t>What level of air filters are installed?</t>
  </si>
  <si>
    <t>If the project is in a humid climate, is standalone dehumidification installed?</t>
  </si>
  <si>
    <t>Daylighting</t>
  </si>
  <si>
    <t>Quality Views</t>
  </si>
  <si>
    <t>Contaminant Monitoring</t>
  </si>
  <si>
    <t>Max Measured VOC Level</t>
  </si>
  <si>
    <t>7.1 - Daylighting and Quality Views</t>
  </si>
  <si>
    <t xml:space="preserve">Step 1: Input the area of occupied spaces that have access to views, operable windows, daylight, and compliance with the annual solar exposure area criteria.
For quality views, include workstations that have a direct line of sight to nature.   </t>
  </si>
  <si>
    <t>Total Volatile Organic Compounds</t>
  </si>
  <si>
    <t>Is air quality monitored on an on-going basis?</t>
  </si>
  <si>
    <t>Quantity</t>
  </si>
  <si>
    <t>Declare</t>
  </si>
  <si>
    <t>Health Product Declaration</t>
  </si>
  <si>
    <t>Cradle to Cradle</t>
  </si>
  <si>
    <t>Level</t>
  </si>
  <si>
    <t>UL Lense</t>
  </si>
  <si>
    <t>qty</t>
  </si>
  <si>
    <t>No. of densely occupied spaces (&gt;25 people/1000 sf) in the project?</t>
  </si>
  <si>
    <r>
      <t>No. of densely occupied spaces with CO</t>
    </r>
    <r>
      <rPr>
        <vertAlign val="subscript"/>
        <sz val="10"/>
        <color rgb="FF000000"/>
        <rFont val="Calibri"/>
        <family val="2"/>
      </rPr>
      <t>2</t>
    </r>
    <r>
      <rPr>
        <sz val="10"/>
        <color rgb="FF000000"/>
        <rFont val="Calibri"/>
        <family val="2"/>
      </rPr>
      <t xml:space="preserve"> sensor monitoring?</t>
    </r>
  </si>
  <si>
    <t>%</t>
  </si>
  <si>
    <t xml:space="preserve">CO2 Sensor Monitoring Methodology </t>
  </si>
  <si>
    <t>ASHRAE 62.1–2010, Appendix C</t>
  </si>
  <si>
    <t>Targeted Volatile Organic Compounds</t>
  </si>
  <si>
    <t>Table 1. Maximum concentration levels, by contaminant and testing method</t>
  </si>
  <si>
    <t>See USGBC LEED v4 Table</t>
  </si>
  <si>
    <t>Fuel Cost Sources</t>
  </si>
  <si>
    <t>Living Product Challenge</t>
  </si>
  <si>
    <t>7.4 - Healthy Materials Inventory</t>
  </si>
  <si>
    <t>Targeted Volatile Organic Compounds Monitoring</t>
  </si>
  <si>
    <t>Were materials and products selected using a banned list approach?</t>
  </si>
  <si>
    <t>Living Building Challenge Red List</t>
  </si>
  <si>
    <t>Six Classes</t>
  </si>
  <si>
    <t>WELL Building Standard</t>
  </si>
  <si>
    <t>Healthier Hospitals Initiative Safer Chemicals</t>
  </si>
  <si>
    <t>Kaiser Permanente Facilities Design Program</t>
  </si>
  <si>
    <t>Harvard's Green Building Standards</t>
  </si>
  <si>
    <r>
      <t>PM</t>
    </r>
    <r>
      <rPr>
        <vertAlign val="subscript"/>
        <sz val="10"/>
        <color rgb="FF000000"/>
        <rFont val="Calibri"/>
        <family val="2"/>
      </rPr>
      <t>10</t>
    </r>
  </si>
  <si>
    <t>Embodied Carbon Reduction Score</t>
  </si>
  <si>
    <t>Wood Structure</t>
  </si>
  <si>
    <t>Optimized Concrete Admixtures</t>
  </si>
  <si>
    <t>Reduction in Total Materials</t>
  </si>
  <si>
    <t>Low-Carbon Insulation</t>
  </si>
  <si>
    <t>Low-Carbon Exterior Cladding Material</t>
  </si>
  <si>
    <t>Reduction in Glazing</t>
  </si>
  <si>
    <t>Low-Carbon Refrigerants</t>
  </si>
  <si>
    <t>Major Strategies for Reducing Embodied Carbon</t>
  </si>
  <si>
    <t>Percent of Construction Waste Diverted</t>
  </si>
  <si>
    <t>Industry-Wide</t>
  </si>
  <si>
    <t>Product Specific Type III, Internally Reviewed</t>
  </si>
  <si>
    <t>Product Specific Type III, Externally reviewed</t>
  </si>
  <si>
    <t>6.7 - Nonconformity Statement</t>
  </si>
  <si>
    <t>7.5 - Nonconformity Statement</t>
  </si>
  <si>
    <t>"An Environmental Product Declaration (EPD) is a document that communicates verified, transparent and comparable information about the life-cycle environmental impact of products." 
- International EPD System
List EPD (or similar certifications) collected for materials used and tally up the total number.</t>
  </si>
  <si>
    <t>Generally, the more reused, recycled, FSC certified and/or local materials, the better.</t>
  </si>
  <si>
    <t>What is Included in the LCA System Boundary?</t>
  </si>
  <si>
    <t>Indicate the LCA Scope</t>
  </si>
  <si>
    <t>Recycled Materials</t>
  </si>
  <si>
    <t>Regional Materials</t>
  </si>
  <si>
    <t>Reused/Salvaged Materials</t>
  </si>
  <si>
    <t>Is the above number estimated or measured?</t>
  </si>
  <si>
    <t>Are the costs in this section estimated or actual?</t>
  </si>
  <si>
    <t>Percent of Materials Recycled</t>
  </si>
  <si>
    <t>Percent of Materials Regional</t>
  </si>
  <si>
    <t>Percent of Materials Reused/Salvaged</t>
  </si>
  <si>
    <t>Cost of Recycled Materials</t>
  </si>
  <si>
    <t>Cost of Regional Materials</t>
  </si>
  <si>
    <t>Cost of Reused/Salvaged Materials</t>
  </si>
  <si>
    <t>Cost of Biobased Materials</t>
  </si>
  <si>
    <t>Percent of Materials Biobased</t>
  </si>
  <si>
    <t>Hybrid - 50% Timber + 50% Steel</t>
  </si>
  <si>
    <t>Hybrid - 50% Timber + 50% Concrete</t>
  </si>
  <si>
    <t>8.2 - Building Reuse | Life Span</t>
  </si>
  <si>
    <t>8.5 - Environmental Product Declarations (EPDs)</t>
  </si>
  <si>
    <t>Type of EPD</t>
  </si>
  <si>
    <t>No. of EPDs Collected</t>
  </si>
  <si>
    <t>9.1 - Local Hazard Research</t>
  </si>
  <si>
    <t>9.4 - Nonconformity Statement</t>
  </si>
  <si>
    <t>9.3 - Building Lifespan</t>
  </si>
  <si>
    <t>9.2 - Resiliency</t>
  </si>
  <si>
    <t>Fossil Fuel Generator</t>
  </si>
  <si>
    <t>Passive Survivability</t>
  </si>
  <si>
    <t>Partial Backup Power</t>
  </si>
  <si>
    <t>Full Backup Power</t>
  </si>
  <si>
    <t>Renewable Energy w/Battery</t>
  </si>
  <si>
    <t>Grid Energy w/Battery</t>
  </si>
  <si>
    <t>Level of Occupant Feedback</t>
  </si>
  <si>
    <t>Annual Transportation Carbon</t>
  </si>
  <si>
    <t>Transportation Carbon Percent Reduction</t>
  </si>
  <si>
    <t>Runoff Quality Score</t>
  </si>
  <si>
    <t xml:space="preserve">4.1 - Benchmark Water </t>
  </si>
  <si>
    <t>4.3 - Predicted Design Oudoor Water Use</t>
  </si>
  <si>
    <t>8.6 - Construction Waste Diversion</t>
  </si>
  <si>
    <t>8.7 - Recycled | Regional | Reused | Third-Party Certification Materials</t>
  </si>
  <si>
    <t>8.8 - Nonconformity Statement</t>
  </si>
  <si>
    <t>10.5 - Nonconformity Statement</t>
  </si>
  <si>
    <r>
      <t>kg CO</t>
    </r>
    <r>
      <rPr>
        <vertAlign val="subscript"/>
        <sz val="10"/>
        <color rgb="FF000000"/>
        <rFont val="Calibri"/>
        <family val="2"/>
      </rPr>
      <t>2</t>
    </r>
    <r>
      <rPr>
        <sz val="10"/>
        <color rgb="FF000000"/>
        <rFont val="Calibri"/>
        <family val="2"/>
      </rPr>
      <t>e / sf</t>
    </r>
  </si>
  <si>
    <t>Which IAQ Contaminants are monitored?</t>
  </si>
  <si>
    <t>8 - Design for Resources</t>
  </si>
  <si>
    <t>9 - Design for Change</t>
  </si>
  <si>
    <t>10 - Design for Discovery</t>
  </si>
  <si>
    <t>gal/sf/yr</t>
  </si>
  <si>
    <t>gal/yr</t>
  </si>
  <si>
    <t>None</t>
  </si>
  <si>
    <t>Percent of Regularly Occupied Area with Quality Views</t>
  </si>
  <si>
    <t>Total Building Area</t>
  </si>
  <si>
    <t>3 - Design for Ecosystems</t>
  </si>
  <si>
    <t>* If no urinal is provided for non-residential projects,  enter the toilet flow rate for the urinal.</t>
  </si>
  <si>
    <t>Enter "0" for waterless urinal.</t>
  </si>
  <si>
    <t>4.2 - Predicted Indoor Water Use</t>
  </si>
  <si>
    <t>Total Annual Cooling Tower Water Use</t>
  </si>
  <si>
    <t>Annual Landscaping Water Allowance (LWA)</t>
  </si>
  <si>
    <t>Ensure "Water Use" and Irrigation Type columns are filled in.</t>
  </si>
  <si>
    <t>See Note 1.</t>
  </si>
  <si>
    <t>Fixed spray irrigation is only allowed for Turfgrass</t>
  </si>
  <si>
    <t>NOAA Precipitation Frequency Data Server</t>
  </si>
  <si>
    <t>For a 2yr-24hr storm event, use the map to find your location and then find the required storm event by finding the 2-year column and 24-hour row in the table.</t>
  </si>
  <si>
    <r>
      <t>PM</t>
    </r>
    <r>
      <rPr>
        <vertAlign val="subscript"/>
        <sz val="10"/>
        <color rgb="FF000000"/>
        <rFont val="Calibri"/>
        <family val="2"/>
      </rPr>
      <t>2.5</t>
    </r>
  </si>
  <si>
    <r>
      <t>Carbon Dioxide (CO</t>
    </r>
    <r>
      <rPr>
        <b/>
        <vertAlign val="subscript"/>
        <sz val="10"/>
        <color rgb="FF000000"/>
        <rFont val="Calibri"/>
        <family val="2"/>
      </rPr>
      <t>2</t>
    </r>
    <r>
      <rPr>
        <b/>
        <sz val="10"/>
        <color rgb="FF000000"/>
        <rFont val="Calibri"/>
        <family val="2"/>
      </rPr>
      <t>) Monitoring</t>
    </r>
  </si>
  <si>
    <t>Third-Party Certification, Standard, or Label Material/Product</t>
  </si>
  <si>
    <t>No. of Materials/Products</t>
  </si>
  <si>
    <t>&gt;80</t>
  </si>
  <si>
    <t>Sustainably Harvested Wood</t>
  </si>
  <si>
    <t>Biobased Materials</t>
  </si>
  <si>
    <t>Monthly Landscaping Water Allowance (LWA)</t>
  </si>
  <si>
    <t>Higher Embodied Carbon Score is better.</t>
  </si>
  <si>
    <t>8.3 - Embodied Carbon | Tools and Scope</t>
  </si>
  <si>
    <t>8.4 - Embodied Carbon | Calculations and Strategies</t>
  </si>
  <si>
    <t>Passive Functionality Score</t>
  </si>
  <si>
    <t>Not Habitable without Power</t>
  </si>
  <si>
    <t>Backup Power Score</t>
  </si>
  <si>
    <t>Resiliency Score</t>
  </si>
  <si>
    <t>Projected No. of Years before Requiring Major Investment</t>
  </si>
  <si>
    <t>Interior Fit-out</t>
  </si>
  <si>
    <t>Yrs</t>
  </si>
  <si>
    <t>Percent of Site Area Vegetated - Pre-Development</t>
  </si>
  <si>
    <t>Percent of Site Area Vegetated - Post-Development</t>
  </si>
  <si>
    <t>Increase in Percent of Vegetated Area - Post-Development</t>
  </si>
  <si>
    <t>Water Use Intensity - Benchmark</t>
  </si>
  <si>
    <t>Water Use Intensity - Predicted</t>
  </si>
  <si>
    <t>Percent of Total Annual Water Demand Met Using Potable Sources - Predicted</t>
  </si>
  <si>
    <t>Year (YYYY)</t>
  </si>
  <si>
    <t xml:space="preserve">Construction Cost per Square Foot </t>
  </si>
  <si>
    <t>$/sf</t>
  </si>
  <si>
    <t>Is the building all-electric? </t>
  </si>
  <si>
    <t>Percent Reduction in Potable Water Use from Benchmark - Predicted</t>
  </si>
  <si>
    <t>Did the project achieve its 2030 Commitment reduction target?</t>
  </si>
  <si>
    <t>Percent Reduction (inclusive of renewables) from Benchmark - Measured </t>
  </si>
  <si>
    <r>
      <t>kg-CO</t>
    </r>
    <r>
      <rPr>
        <vertAlign val="subscript"/>
        <sz val="10"/>
        <color rgb="FF000000"/>
        <rFont val="Calibri"/>
        <family val="2"/>
      </rPr>
      <t>2</t>
    </r>
    <r>
      <rPr>
        <sz val="10"/>
        <color rgb="FF000000"/>
        <rFont val="Calibri"/>
        <family val="2"/>
      </rPr>
      <t>e</t>
    </r>
  </si>
  <si>
    <r>
      <t>What is the design goal for maximum CO</t>
    </r>
    <r>
      <rPr>
        <vertAlign val="subscript"/>
        <sz val="10"/>
        <color rgb="FF000000"/>
        <rFont val="Calibri"/>
        <family val="2"/>
      </rPr>
      <t>2</t>
    </r>
    <r>
      <rPr>
        <sz val="10"/>
        <color rgb="FF000000"/>
        <rFont val="Calibri"/>
        <family val="2"/>
      </rPr>
      <t xml:space="preserve"> when spaces are fully occupied?</t>
    </r>
  </si>
  <si>
    <t>What is the design goal for maximum CO2 when spaces are fully occupied?</t>
  </si>
  <si>
    <t>7.2 - Occupant Control</t>
  </si>
  <si>
    <r>
      <t>Is this goal relative to outdoor CO</t>
    </r>
    <r>
      <rPr>
        <vertAlign val="subscript"/>
        <sz val="10"/>
        <color rgb="FF000000"/>
        <rFont val="Calibri"/>
        <family val="2"/>
      </rPr>
      <t>2</t>
    </r>
    <r>
      <rPr>
        <sz val="10"/>
        <color rgb="FF000000"/>
        <rFont val="Calibri"/>
        <family val="2"/>
      </rPr>
      <t xml:space="preserve"> levels or an absolute value?</t>
    </r>
  </si>
  <si>
    <t xml:space="preserve">Is this goal relative to outdoor CO2 levels or an absolute value? </t>
  </si>
  <si>
    <t>What is the Project's Embodied Carbon Intensity?</t>
  </si>
  <si>
    <t>Percentage of Installed wood that is FSC Certified</t>
  </si>
  <si>
    <t>Project’s total carbon (embodied + operational) over 10 years</t>
  </si>
  <si>
    <t xml:space="preserve">Negative values for percent reduction indicates an increase in energy use. </t>
  </si>
  <si>
    <t>Negative values for percent reduction indicates an increase in water use from the benchmark</t>
  </si>
  <si>
    <t>Percent of Site Area Vegetated</t>
  </si>
  <si>
    <t>Construction Cost Reduction from the Benchmark</t>
  </si>
  <si>
    <t>$/year</t>
  </si>
  <si>
    <r>
      <t>Is CO</t>
    </r>
    <r>
      <rPr>
        <vertAlign val="subscript"/>
        <sz val="10"/>
        <color rgb="FF000000"/>
        <rFont val="Calibri"/>
        <family val="2"/>
      </rPr>
      <t xml:space="preserve">2 </t>
    </r>
    <r>
      <rPr>
        <sz val="10"/>
        <color rgb="FF000000"/>
        <rFont val="Calibri"/>
        <family val="2"/>
      </rPr>
      <t>measured?</t>
    </r>
  </si>
  <si>
    <t>Number of Materials with Third-Party Certification, Standard, or Label</t>
  </si>
  <si>
    <t>&gt;100%</t>
  </si>
  <si>
    <t>&gt;10</t>
  </si>
  <si>
    <t>Total Carbon Calculations</t>
  </si>
  <si>
    <t>Welcome to the AIA COTE Top Ten Super Spreadsheet!</t>
  </si>
  <si>
    <t>AIA COTE Top 10 Award Program Color Scheme</t>
  </si>
  <si>
    <t>Optional for AIA COTE Top 10</t>
  </si>
  <si>
    <t>Mandatory for AIA COTE Top 10</t>
  </si>
  <si>
    <t xml:space="preserve">0  - 24 </t>
  </si>
  <si>
    <t xml:space="preserve">0  - 49 </t>
  </si>
  <si>
    <t xml:space="preserve">25  - 49 </t>
  </si>
  <si>
    <t xml:space="preserve">50  - 69 </t>
  </si>
  <si>
    <t xml:space="preserve">50  -69 </t>
  </si>
  <si>
    <t xml:space="preserve">70  - 89 </t>
  </si>
  <si>
    <t xml:space="preserve">90  - 100 </t>
  </si>
  <si>
    <t xml:space="preserve">Walkscore.com generates several scores for walkability and community resources for any address in the US.  NOTE: Transit and Bike scores are not available for all locations and can be left blank with an explanation to that effect in Section 2.4 - Nonconformity Statement of this tab. </t>
  </si>
  <si>
    <t>4.4 - Predicted Cooling Tower Water Use</t>
  </si>
  <si>
    <t xml:space="preserve">4.5 - Account for Rainwater and Reclaimed Water (Grey/Black) </t>
  </si>
  <si>
    <t xml:space="preserve">4.6 - Annual Potable Water Use Summary </t>
  </si>
  <si>
    <t>4.7 - Stormwater Managed On-site</t>
  </si>
  <si>
    <t>4.8 - Water Runoff Quality</t>
  </si>
  <si>
    <t>4.9 - Nonconformity Statement</t>
  </si>
  <si>
    <r>
      <t xml:space="preserve">Determine the amount of water used for irrigation. Rainwater that falls on the site, but is not collected or stored for later reuse is taken into account in this calculation. Projects that have on-site rainwater collection and/or reuse infrastructure can take credit for it in Section 4.5.
1 - When "Pool, Spa, Water Feature" is listed under "Landscape Type", use </t>
    </r>
    <r>
      <rPr>
        <b/>
        <u/>
        <sz val="10"/>
        <color rgb="FF000000"/>
        <rFont val="Calibri"/>
        <family val="2"/>
      </rPr>
      <t>"Not Applicable"</t>
    </r>
    <r>
      <rPr>
        <sz val="10"/>
        <color rgb="FF000000"/>
        <rFont val="Calibri"/>
        <family val="2"/>
      </rPr>
      <t xml:space="preserve"> for "Irrigation Type" to avoid a calculation error.
2 - Microspray may only be used on vegetation other than turfgrass if it meets the definition of </t>
    </r>
    <r>
      <rPr>
        <i/>
        <sz val="10"/>
        <color rgb="FF000000"/>
        <rFont val="Calibri"/>
        <family val="2"/>
      </rPr>
      <t>ASABE/ICC 802 Landscape Irrigation Sprinkler and Emitter Standard</t>
    </r>
    <r>
      <rPr>
        <sz val="10"/>
        <color rgb="FF000000"/>
        <rFont val="Calibri"/>
        <family val="2"/>
      </rPr>
      <t>, a micro irrigation emission device with one or more orifices to convert irrigation water pressure to water discharge with a flow rate not to exceed 30 gallons per hour (113.5 liters per hour) at the largest area of coverage available for the nozzle series when operated at 30 psi (206.8kPa).
3 - Lower quarter distribution uniformity (DU</t>
    </r>
    <r>
      <rPr>
        <vertAlign val="subscript"/>
        <sz val="10"/>
        <color rgb="FF000000"/>
        <rFont val="Calibri"/>
        <family val="2"/>
      </rPr>
      <t>LQ</t>
    </r>
    <r>
      <rPr>
        <sz val="10"/>
        <color rgb="FF000000"/>
        <rFont val="Calibri"/>
        <family val="2"/>
      </rPr>
      <t>) – The measure of uniformity of irrigation water applied over an area. DU</t>
    </r>
    <r>
      <rPr>
        <vertAlign val="subscript"/>
        <sz val="10"/>
        <color rgb="FF000000"/>
        <rFont val="Calibri"/>
        <family val="2"/>
      </rPr>
      <t>LQ</t>
    </r>
    <r>
      <rPr>
        <sz val="10"/>
        <color rgb="FF000000"/>
        <rFont val="Calibri"/>
        <family val="2"/>
      </rPr>
      <t xml:space="preserve"> is the ratio of the average of the lowest 25 percent of measurements to the overall average measurement.</t>
    </r>
  </si>
  <si>
    <t>Vegetated Area</t>
  </si>
  <si>
    <r>
      <t xml:space="preserve">This simple calculator will give an estimate of a building's water consumption. Three uses are taken into account for this calculation, indoor water use, irrigation, and cooling. For the sake of simplicity, other water uses, such as pools or commercial kitchens are not included.
</t>
    </r>
    <r>
      <rPr>
        <u/>
        <sz val="10"/>
        <color rgb="FF000000"/>
        <rFont val="Calibri"/>
        <family val="2"/>
      </rPr>
      <t xml:space="preserve">
COMPOSTING TOILETS / WATERLESS URINALS
</t>
    </r>
    <r>
      <rPr>
        <sz val="10"/>
        <color rgb="FF000000"/>
        <rFont val="Calibri"/>
        <family val="2"/>
      </rPr>
      <t xml:space="preserve">Projects can use a flow rate of "0" where composting toilets or waterless urinals are implemented. In this case, projects should provide a short explanation in section 4.9. </t>
    </r>
  </si>
  <si>
    <t>Sustainability strategies can affect and involve multiple AIA COTE measures. As an example: think how many measures are influenced by carbon metrics? The chart below represents the interconnectivity of the AIA COTE measures.</t>
  </si>
  <si>
    <t xml:space="preserve">Use this section to explain any unique situations or nonconformities with the AIA COTE Top Ten awards requirements. </t>
  </si>
  <si>
    <t xml:space="preserve">This summary tab includes mandatory metrics for the AIA COTE Top 10 Awards application submission ONLY, see the Results Tab for a summary of all metrics. </t>
  </si>
  <si>
    <t>AIA COTE Top Ten Award Mandatory Metric Summary</t>
  </si>
  <si>
    <t xml:space="preserve">
Notes on the benchmarking data set:
All benchmark values are national averages (CBECS 2003) to align with the AIA COTE Top Ten submission instruction and to keep the values simple, accurate, and comparable across all projects. We understand the subtleties of regional benchmarks and know that they can be helpful in some circumstances, but we also realize that the disproportionally important "predicted energy use reduction" metric can easily be manipulated by overly specific benchmarks. 
In an effort to avoid the gamification of energy reduction metrics and to refocus project team efforts towards design strategies that contribute to better performance, we have concluded that benchmarking is best if it's quick, simple, and broadly applicable. Using national average benchmarking accomplishes this goal.  
Notes on program types:
1. Single-family homes are benchmarked for annual energy and water consumption rather than per square foot. This is because all single-family homes serve the same functional purpose, regardless of size. Regional and density variations are included for single-family houses since they are typically more envelope-dominated than other building types. 
2. Laboratories already assume to have some percentage of office space. Select 100% for all laboratory projects.
3. Water benchmarks for restaurants are best based on gallon/seat or gallon/meal served, but for purposes of simplicity, an average gallon/sf is used.</t>
  </si>
  <si>
    <t>Pandemic / Epidemic</t>
  </si>
  <si>
    <t xml:space="preserve">Input the total number of materials that have a third-party health certification in the yellow box. 
Note: HPD is not always a third-party health certification. It can be third party, but can also be self-reporting, and it's not a certification, it's a transparency label.
-AND/OR-
Input how chemicals were avoided per banned list certification, standard, or label. </t>
  </si>
  <si>
    <t>Identify banned list programs that influenced healthy material selection:</t>
  </si>
  <si>
    <r>
      <t>What is the maximum measured CO</t>
    </r>
    <r>
      <rPr>
        <vertAlign val="subscript"/>
        <sz val="10"/>
        <color rgb="FF000000"/>
        <rFont val="Calibri"/>
        <family val="2"/>
      </rPr>
      <t>2</t>
    </r>
    <r>
      <rPr>
        <sz val="10"/>
        <color rgb="FF000000"/>
        <rFont val="Calibri"/>
        <family val="2"/>
      </rPr>
      <t xml:space="preserve"> when spaces are fully occupied?</t>
    </r>
  </si>
  <si>
    <r>
      <t>Other Climate Zone</t>
    </r>
    <r>
      <rPr>
        <vertAlign val="superscript"/>
        <sz val="10"/>
        <color rgb="FF000000"/>
        <rFont val="Calibri"/>
        <family val="2"/>
      </rPr>
      <t>(?)</t>
    </r>
  </si>
  <si>
    <t>DC</t>
  </si>
  <si>
    <r>
      <t>Zip / Postal Code</t>
    </r>
    <r>
      <rPr>
        <vertAlign val="superscript"/>
        <sz val="10"/>
        <color rgb="FF000000"/>
        <rFont val="Calibri"/>
        <family val="2"/>
      </rPr>
      <t>(?)</t>
    </r>
  </si>
  <si>
    <r>
      <t>Country / Region</t>
    </r>
    <r>
      <rPr>
        <vertAlign val="superscript"/>
        <sz val="10"/>
        <color rgb="FF000000"/>
        <rFont val="Calibri"/>
        <family val="2"/>
      </rPr>
      <t>(?)</t>
    </r>
  </si>
  <si>
    <r>
      <t xml:space="preserve">State </t>
    </r>
    <r>
      <rPr>
        <vertAlign val="superscript"/>
        <sz val="10"/>
        <color rgb="FF000000"/>
        <rFont val="Calibri"/>
        <family val="2"/>
      </rPr>
      <t>(?)</t>
    </r>
  </si>
  <si>
    <r>
      <t>Other State / Province</t>
    </r>
    <r>
      <rPr>
        <vertAlign val="superscript"/>
        <sz val="10"/>
        <color rgb="FF000000"/>
        <rFont val="Calibri"/>
        <family val="2"/>
      </rPr>
      <t>(?)</t>
    </r>
  </si>
  <si>
    <t>Nonconformity Statement</t>
  </si>
  <si>
    <t>gsf</t>
  </si>
  <si>
    <t>2.2 - Walk / Transit / Bike Score</t>
  </si>
  <si>
    <t>2.1 - Social Cost of Carbon</t>
  </si>
  <si>
    <t>Pervious Pavement</t>
  </si>
  <si>
    <r>
      <t xml:space="preserve">Conventional Turf </t>
    </r>
    <r>
      <rPr>
        <vertAlign val="superscript"/>
        <sz val="10"/>
        <color rgb="FF000000"/>
        <rFont val="Calibri"/>
        <family val="2"/>
      </rPr>
      <t xml:space="preserve"> (?) </t>
    </r>
  </si>
  <si>
    <r>
      <t xml:space="preserve">Decorative Plants + Shrubs </t>
    </r>
    <r>
      <rPr>
        <vertAlign val="superscript"/>
        <sz val="10"/>
        <color rgb="FF000000"/>
        <rFont val="Calibri"/>
        <family val="2"/>
      </rPr>
      <t>(?)</t>
    </r>
  </si>
  <si>
    <r>
      <t xml:space="preserve">Sparsely Planted/Mulched Area </t>
    </r>
    <r>
      <rPr>
        <vertAlign val="superscript"/>
        <sz val="10"/>
        <color rgb="FF000000"/>
        <rFont val="Calibri"/>
        <family val="2"/>
      </rPr>
      <t>(?)</t>
    </r>
  </si>
  <si>
    <t>Native or Adapted Plants + Shrubs</t>
  </si>
  <si>
    <r>
      <t xml:space="preserve">Multi-level Planting Structure </t>
    </r>
    <r>
      <rPr>
        <vertAlign val="superscript"/>
        <sz val="10"/>
        <color rgb="FF000000"/>
        <rFont val="Calibri"/>
        <family val="2"/>
      </rPr>
      <t>(?)</t>
    </r>
  </si>
  <si>
    <r>
      <t xml:space="preserve">Vegetated Green Infrastructure </t>
    </r>
    <r>
      <rPr>
        <vertAlign val="superscript"/>
        <sz val="10"/>
        <color rgb="FF000000"/>
        <rFont val="Calibri"/>
        <family val="2"/>
      </rPr>
      <t>(?)</t>
    </r>
  </si>
  <si>
    <t>Restored / Introduced Meadow, Prairie, or Shrubland Ecosystems</t>
  </si>
  <si>
    <r>
      <t>Restored / Introduced Wetland Ecosystems</t>
    </r>
    <r>
      <rPr>
        <vertAlign val="superscript"/>
        <sz val="10"/>
        <color rgb="FF000000"/>
        <rFont val="Calibri"/>
        <family val="2"/>
      </rPr>
      <t xml:space="preserve"> (?)</t>
    </r>
  </si>
  <si>
    <t>Restored / Introduced Forest Cover Ecosystem</t>
  </si>
  <si>
    <t>Tree Cover</t>
  </si>
  <si>
    <t>Number of Native or Adapted Trees</t>
  </si>
  <si>
    <t xml:space="preserve">Gross Area </t>
  </si>
  <si>
    <t>% of Total Area</t>
  </si>
  <si>
    <t>Additional Project Information</t>
  </si>
  <si>
    <t>Conditioned + Unconditioned Area must equal Total Building Area</t>
  </si>
  <si>
    <t>Building Occupancy and Operation</t>
  </si>
  <si>
    <t>lb/mWh</t>
  </si>
  <si>
    <r>
      <t xml:space="preserve">Grid Electricity Carbon Emission Conversion Factor </t>
    </r>
    <r>
      <rPr>
        <vertAlign val="superscript"/>
        <sz val="10"/>
        <color rgb="FF000000"/>
        <rFont val="Calibri"/>
        <family val="2"/>
      </rPr>
      <t>(?)</t>
    </r>
  </si>
  <si>
    <t>Project Information</t>
  </si>
  <si>
    <t>Building Program and Areas</t>
  </si>
  <si>
    <r>
      <t xml:space="preserve">Conditioned Area </t>
    </r>
    <r>
      <rPr>
        <vertAlign val="superscript"/>
        <sz val="10"/>
        <color rgb="FF000000"/>
        <rFont val="Calibri"/>
        <family val="2"/>
      </rPr>
      <t>(?)</t>
    </r>
  </si>
  <si>
    <r>
      <t xml:space="preserve">Unconditioned Area </t>
    </r>
    <r>
      <rPr>
        <vertAlign val="superscript"/>
        <sz val="10"/>
        <color rgb="FF000000"/>
        <rFont val="Calibri"/>
        <family val="2"/>
      </rPr>
      <t>(?)</t>
    </r>
  </si>
  <si>
    <r>
      <t xml:space="preserve">Regularly Occupied Space Area </t>
    </r>
    <r>
      <rPr>
        <vertAlign val="superscript"/>
        <sz val="10"/>
        <color rgb="FF000000"/>
        <rFont val="Calibri"/>
        <family val="2"/>
      </rPr>
      <t>(?)</t>
    </r>
  </si>
  <si>
    <r>
      <t xml:space="preserve">Site Area </t>
    </r>
    <r>
      <rPr>
        <vertAlign val="superscript"/>
        <sz val="10"/>
        <color rgb="FF000000"/>
        <rFont val="Calibri"/>
        <family val="2"/>
      </rPr>
      <t>(?)</t>
    </r>
  </si>
  <si>
    <r>
      <t xml:space="preserve">Avg daily occupancy </t>
    </r>
    <r>
      <rPr>
        <vertAlign val="superscript"/>
        <sz val="10"/>
        <color rgb="FF000000"/>
        <rFont val="Calibri"/>
        <family val="2"/>
      </rPr>
      <t>(?)</t>
    </r>
  </si>
  <si>
    <r>
      <t xml:space="preserve">FTEs </t>
    </r>
    <r>
      <rPr>
        <vertAlign val="superscript"/>
        <sz val="10"/>
        <color rgb="FF000000"/>
        <rFont val="Calibri"/>
        <family val="2"/>
      </rPr>
      <t>(?)</t>
    </r>
  </si>
  <si>
    <r>
      <t xml:space="preserve">Annual days of operation </t>
    </r>
    <r>
      <rPr>
        <vertAlign val="superscript"/>
        <sz val="10"/>
        <color rgb="FF000000"/>
        <rFont val="Calibri"/>
        <family val="2"/>
      </rPr>
      <t>(?)</t>
    </r>
  </si>
  <si>
    <r>
      <t xml:space="preserve">Avg. daily hours of operation </t>
    </r>
    <r>
      <rPr>
        <vertAlign val="superscript"/>
        <sz val="10"/>
        <color rgb="FF000000"/>
        <rFont val="Calibri"/>
        <family val="2"/>
      </rPr>
      <t>(?)</t>
    </r>
  </si>
  <si>
    <t>Hours</t>
  </si>
  <si>
    <t>3.5 - Nonconformity Statement</t>
  </si>
  <si>
    <t>Was carbon balance of the landscape modeled?</t>
  </si>
  <si>
    <t>What was the modeled time period?</t>
  </si>
  <si>
    <t>yr</t>
  </si>
  <si>
    <t>What was the site’s net impact over that period?</t>
  </si>
  <si>
    <r>
      <t>MT CO</t>
    </r>
    <r>
      <rPr>
        <vertAlign val="subscript"/>
        <sz val="10"/>
        <color rgb="FF000000"/>
        <rFont val="Calibri"/>
        <family val="2"/>
      </rPr>
      <t>2</t>
    </r>
  </si>
  <si>
    <t xml:space="preserve">Roof Area with High Albedo </t>
  </si>
  <si>
    <t>Hardscape with High Albedo</t>
  </si>
  <si>
    <t>Hardscape Area Covered by Tree Canopy</t>
  </si>
  <si>
    <t>Heat Island Mitigation Strategies</t>
  </si>
  <si>
    <t>Increase in Heat Island Mitigation - Post Development</t>
  </si>
  <si>
    <t>Carbon Conscience</t>
  </si>
  <si>
    <t>Carbon Positive Design</t>
  </si>
  <si>
    <t>6.2 - Measured Energy Consumption and/or Generation</t>
  </si>
  <si>
    <t>Annual Energy (kBtu/yr)</t>
  </si>
  <si>
    <t>n/a</t>
  </si>
  <si>
    <t>Biomass - Wood</t>
  </si>
  <si>
    <t>Increase in Percent of Vegetated Area</t>
  </si>
  <si>
    <t>Fuel Type/Source</t>
  </si>
  <si>
    <t>On-Site Renewable</t>
  </si>
  <si>
    <t>Off-Site Renewable</t>
  </si>
  <si>
    <t>Net/Excess</t>
  </si>
  <si>
    <t>Building Program</t>
  </si>
  <si>
    <t>10-yr Landscaping Carbon Intensity</t>
  </si>
  <si>
    <t>Landscaping Carbon Intensity</t>
  </si>
  <si>
    <t>UL Product Lens</t>
  </si>
  <si>
    <t>Are VOCs measured?</t>
  </si>
  <si>
    <t>What process did you undertake to ensure the systems/assemblies function as designed?</t>
  </si>
  <si>
    <t>On-Going Commissioning</t>
  </si>
  <si>
    <t>Vegetation Quality Score</t>
  </si>
  <si>
    <t>3.2 - Quality of Vegetation</t>
  </si>
  <si>
    <t>Low Quality (LQ) Vegetation</t>
  </si>
  <si>
    <t>Medium Quality (MQ) Vegetation</t>
  </si>
  <si>
    <t>High Quality (HQ) Vegetation</t>
  </si>
  <si>
    <t>6.1 - Benchmark</t>
  </si>
  <si>
    <t>3.3 - Vegetation Carbon Balance</t>
  </si>
  <si>
    <t xml:space="preserve">3.4 - Urban Heat Island </t>
  </si>
  <si>
    <r>
      <t>Program Breakdown</t>
    </r>
    <r>
      <rPr>
        <b/>
        <vertAlign val="superscript"/>
        <sz val="10"/>
        <rFont val="Calibri"/>
        <family val="2"/>
      </rPr>
      <t>(?)</t>
    </r>
  </si>
  <si>
    <t>Total Predicted Operational Carbon (10-yrs)</t>
  </si>
  <si>
    <t>Are daylight sensors installed?</t>
  </si>
  <si>
    <t>Percent of Regularly Occupied Area that is Daylit</t>
  </si>
  <si>
    <t>Percent of Regularly Occupied Area that Experiences Glare</t>
  </si>
  <si>
    <t>EPiC</t>
  </si>
  <si>
    <t>z</t>
  </si>
  <si>
    <r>
      <t xml:space="preserve">LQ Plantings </t>
    </r>
    <r>
      <rPr>
        <vertAlign val="superscript"/>
        <sz val="10"/>
        <color rgb="FF000000"/>
        <rFont val="Calibri"/>
        <family val="2"/>
      </rPr>
      <t>(?)</t>
    </r>
  </si>
  <si>
    <t>Increase in Percent of Trees</t>
  </si>
  <si>
    <t>Cost/gsf</t>
  </si>
  <si>
    <t>10-yr Social Cost of Carbon Intensity</t>
  </si>
  <si>
    <t>If embodied carbon wasn't modeled, use Build Carbon Neutral to complete this section.</t>
  </si>
  <si>
    <t>Building Elements Reused</t>
  </si>
  <si>
    <t>Is this a zero-lot line project?</t>
  </si>
  <si>
    <r>
      <t>MQ or HQ Plantings</t>
    </r>
    <r>
      <rPr>
        <vertAlign val="superscript"/>
        <sz val="10"/>
        <color rgb="FF000000"/>
        <rFont val="Calibri"/>
        <family val="2"/>
      </rPr>
      <t xml:space="preserve"> (?)</t>
    </r>
  </si>
  <si>
    <t>Pervious Surfaces</t>
  </si>
  <si>
    <t>Does the project have a water-cooled chiller?</t>
  </si>
  <si>
    <t>Total Produced</t>
  </si>
  <si>
    <t>All Other Fuel Sources</t>
  </si>
  <si>
    <t>On-Site Electricity</t>
  </si>
  <si>
    <t>Off-Site Electricity</t>
  </si>
  <si>
    <t>Energy CONSUMPTION</t>
  </si>
  <si>
    <t>Energy PRODUCTION</t>
  </si>
  <si>
    <t>6.3 - Predicted Energy Consumption and/or Generation</t>
  </si>
  <si>
    <r>
      <t>Operational Carbon (kg-CO</t>
    </r>
    <r>
      <rPr>
        <b/>
        <vertAlign val="subscript"/>
        <sz val="10"/>
        <color rgb="FF000000"/>
        <rFont val="Calibri"/>
        <family val="2"/>
      </rPr>
      <t>2</t>
    </r>
    <r>
      <rPr>
        <b/>
        <sz val="10"/>
        <color rgb="FF000000"/>
        <rFont val="Calibri"/>
        <family val="2"/>
      </rPr>
      <t>e / yr)</t>
    </r>
  </si>
  <si>
    <t>Operational Carbon (kg-CO2e / yr)</t>
  </si>
  <si>
    <t>Factor</t>
  </si>
  <si>
    <t xml:space="preserve"> Factor</t>
  </si>
  <si>
    <t>Procurement Type</t>
  </si>
  <si>
    <t>kBtu Conversion Table</t>
  </si>
  <si>
    <t>Off-Site Energy Procurement Derating Table</t>
  </si>
  <si>
    <r>
      <rPr>
        <vertAlign val="superscript"/>
        <sz val="10"/>
        <color rgb="FF000000"/>
        <rFont val="Calibri"/>
        <family val="2"/>
      </rPr>
      <t xml:space="preserve"> (?) </t>
    </r>
    <r>
      <rPr>
        <sz val="10"/>
        <color rgb="FF000000"/>
        <rFont val="Calibri"/>
        <family val="2"/>
      </rPr>
      <t>Cost of Energy</t>
    </r>
  </si>
  <si>
    <r>
      <t xml:space="preserve"> </t>
    </r>
    <r>
      <rPr>
        <vertAlign val="superscript"/>
        <sz val="10"/>
        <color rgb="FF000000"/>
        <rFont val="Calibri"/>
        <family val="2"/>
      </rPr>
      <t>(?)</t>
    </r>
    <r>
      <rPr>
        <sz val="10"/>
        <color rgb="FF000000"/>
        <rFont val="Calibri"/>
        <family val="2"/>
      </rPr>
      <t xml:space="preserve"> Unit of Measurement</t>
    </r>
  </si>
  <si>
    <r>
      <t xml:space="preserve"> </t>
    </r>
    <r>
      <rPr>
        <vertAlign val="superscript"/>
        <sz val="10"/>
        <color rgb="FF000000"/>
        <rFont val="Calibri"/>
        <family val="2"/>
      </rPr>
      <t>(?)</t>
    </r>
    <r>
      <rPr>
        <sz val="10"/>
        <color rgb="FF000000"/>
        <rFont val="Calibri"/>
        <family val="2"/>
      </rPr>
      <t xml:space="preserve"> Unit of Measurement</t>
    </r>
  </si>
  <si>
    <t>6.4 - Annual Energy Use and Carbon Summary</t>
  </si>
  <si>
    <t>Gross Energy Use Intensity (EUI)</t>
  </si>
  <si>
    <t>Inclusive of Renewables</t>
  </si>
  <si>
    <t>Exclusive of Renewables</t>
  </si>
  <si>
    <t>Use ASHRAE Standard 90.1-2007 as the benchmark.
Best practice is to achieve at least a 20% reduction from the benchmark</t>
  </si>
  <si>
    <t>Window Wall Ratio (WWR)</t>
  </si>
  <si>
    <t>Is the building all electric?</t>
  </si>
  <si>
    <t>(including on-site renewables)</t>
  </si>
  <si>
    <t>DCW - Electric Driven</t>
  </si>
  <si>
    <t>DCW - Natural Gas Absorption</t>
  </si>
  <si>
    <t>DCW - Natural Gas Engine Driven</t>
  </si>
  <si>
    <t>Percent Energy Reduction from Benchmark</t>
  </si>
  <si>
    <t>Percent Carbon Reduction from Benchmark</t>
  </si>
  <si>
    <t>Operational Carbon Intensity</t>
  </si>
  <si>
    <t>Annual Energy CONSUMPTION</t>
  </si>
  <si>
    <t>Annual Energy PRODUCTION</t>
  </si>
  <si>
    <t>Table 7. Domestic sales and average price of densified biomass fuel, 2023</t>
  </si>
  <si>
    <t>Annual Cost</t>
  </si>
  <si>
    <t>Cost by Fuel Type</t>
  </si>
  <si>
    <t>Ton</t>
  </si>
  <si>
    <t>Site Annual Energy</t>
  </si>
  <si>
    <t>Site Energy Use Intensity</t>
  </si>
  <si>
    <t>Does the project have an ON-SITE renewable energy system?</t>
  </si>
  <si>
    <t>What type of OFF-SITE renewable energy is sourced?</t>
  </si>
  <si>
    <t>Does the project use OFF-SITE renewable energy?</t>
  </si>
  <si>
    <t>How is ON-SITE renewable energy production metered by the project's utility company?</t>
  </si>
  <si>
    <t>Select Yes/No</t>
  </si>
  <si>
    <t>Choose OFF-SITE renewable energy type</t>
  </si>
  <si>
    <r>
      <t>kg-CO</t>
    </r>
    <r>
      <rPr>
        <vertAlign val="subscript"/>
        <sz val="10"/>
        <color rgb="FF000000"/>
        <rFont val="Calibri"/>
        <family val="2"/>
      </rPr>
      <t>2</t>
    </r>
    <r>
      <rPr>
        <sz val="10"/>
        <color rgb="FF000000"/>
        <rFont val="Calibri"/>
        <family val="2"/>
      </rPr>
      <t>e/sf/yr</t>
    </r>
  </si>
  <si>
    <t>Use regional conversion factor from eGrid (2021)</t>
  </si>
  <si>
    <t>Annual Cost (Net Metered)</t>
  </si>
  <si>
    <t>all multi-occupant spaces?</t>
  </si>
  <si>
    <t>at least 90% of individual occupant spaces?</t>
  </si>
  <si>
    <t>Air Speed</t>
  </si>
  <si>
    <t>Humidity</t>
  </si>
  <si>
    <t>Air Temperature</t>
  </si>
  <si>
    <t>Radiant Temperature</t>
  </si>
  <si>
    <t>have access to thermal comfort controls that allow for adjustment to ...</t>
  </si>
  <si>
    <t>Do at least 50% of individual occupant spaces and ALL multi-occupant spaces</t>
  </si>
  <si>
    <t>Does the project have naturally ventilated spaces?</t>
  </si>
  <si>
    <r>
      <t>Can occupants adjust lighting levels or select lighting scenes in...</t>
    </r>
    <r>
      <rPr>
        <b/>
        <vertAlign val="superscript"/>
        <sz val="10"/>
        <color rgb="FF000000"/>
        <rFont val="Calibri"/>
        <family val="2"/>
      </rPr>
      <t>(?)</t>
    </r>
  </si>
  <si>
    <t>Occupant Control Score</t>
  </si>
  <si>
    <t>Area that experiences glare (ASE 1000,250)</t>
  </si>
  <si>
    <r>
      <t>Does the tool include biogenic carbon?</t>
    </r>
    <r>
      <rPr>
        <vertAlign val="superscript"/>
        <sz val="10"/>
        <rFont val="Calibri"/>
        <family val="2"/>
      </rPr>
      <t>(?)</t>
    </r>
  </si>
  <si>
    <t>Cost of FSC Wood</t>
  </si>
  <si>
    <t>Percentage of Wood that is FSC Certified</t>
  </si>
  <si>
    <t>Total Material Cost for Wood Products</t>
  </si>
  <si>
    <r>
      <t xml:space="preserve">Estimate the total value of materials that were recycled, local, or certified by third-party programs.
</t>
    </r>
    <r>
      <rPr>
        <u/>
        <sz val="10"/>
        <color rgb="FF000000"/>
        <rFont val="Calibri"/>
        <family val="2"/>
      </rPr>
      <t>Regional Materials:</t>
    </r>
    <r>
      <rPr>
        <sz val="10"/>
        <color rgb="FF000000"/>
        <rFont val="Calibri"/>
        <family val="2"/>
      </rPr>
      <t xml:space="preserve">
Don't worry about staying in a specific radius from the site. Use your best judgment to determine which materials were harvested or manufactured "locally"
</t>
    </r>
    <r>
      <rPr>
        <u/>
        <sz val="10"/>
        <color rgb="FF000000"/>
        <rFont val="Calibri"/>
        <family val="2"/>
      </rPr>
      <t xml:space="preserve">Recycled Materials: </t>
    </r>
    <r>
      <rPr>
        <sz val="10"/>
        <color rgb="FF000000"/>
        <rFont val="Calibri"/>
        <family val="2"/>
      </rPr>
      <t xml:space="preserve">
Include all materials that contain some component or ingredient that is reused or recycled. 
</t>
    </r>
    <r>
      <rPr>
        <u/>
        <sz val="10"/>
        <color rgb="FF000000"/>
        <rFont val="Calibri"/>
        <family val="2"/>
      </rPr>
      <t>Reused/Salvaged Materials:</t>
    </r>
    <r>
      <rPr>
        <sz val="10"/>
        <color rgb="FF000000"/>
        <rFont val="Calibri"/>
        <family val="2"/>
      </rPr>
      <t xml:space="preserve"> 
Materials can be found on or off-site
</t>
    </r>
    <r>
      <rPr>
        <u/>
        <sz val="10"/>
        <color rgb="FF000000"/>
        <rFont val="Calibri"/>
        <family val="2"/>
      </rPr>
      <t>Biobased Materials:</t>
    </r>
    <r>
      <rPr>
        <sz val="10"/>
        <color rgb="FF000000"/>
        <rFont val="Calibri"/>
        <family val="2"/>
      </rPr>
      <t xml:space="preserve">
The definition and percentage of biobased materials, by weight, is determined by ASTM D6866.
</t>
    </r>
    <r>
      <rPr>
        <u/>
        <sz val="10"/>
        <color rgb="FF000000"/>
        <rFont val="Calibri"/>
        <family val="2"/>
      </rPr>
      <t xml:space="preserve">Sustainably Harvested Wood: </t>
    </r>
    <r>
      <rPr>
        <sz val="10"/>
        <color rgb="FF000000"/>
        <rFont val="Calibri"/>
        <family val="2"/>
      </rPr>
      <t xml:space="preserve">
How many wood products not reused, salvaged, or recycled, are certified to the standards of the Forest Stewardship Council (FSC)?
</t>
    </r>
  </si>
  <si>
    <t xml:space="preserve">Select the commissioning activities that were performed to ensure the building functions as designed. </t>
  </si>
  <si>
    <t>On-site daylight measurements</t>
  </si>
  <si>
    <t>Indoor air quality measurement</t>
  </si>
  <si>
    <t>Occupant satisfaction survey</t>
  </si>
  <si>
    <t>Contacted the owner to see how things are going</t>
  </si>
  <si>
    <t>Obtained utility bills or metered data to analyze energy/water use</t>
  </si>
  <si>
    <t>Infrared photography</t>
  </si>
  <si>
    <t>Teach occupants and operators how to engage with sustainable design features</t>
  </si>
  <si>
    <t>Publish post-occupancy data from the building</t>
  </si>
  <si>
    <t>Cost</t>
  </si>
  <si>
    <t>Reduced annual utility cost due to building efficiency and on-site renewables.</t>
  </si>
  <si>
    <t>Design</t>
  </si>
  <si>
    <t>Cost Reduction Strategies</t>
  </si>
  <si>
    <t>5.2 - Estimated Operating and Maintenance Cost Reduction</t>
  </si>
  <si>
    <t>Visit the AIA website for COTE Top 10 FAQs</t>
  </si>
  <si>
    <t>Determine the area of the site reserved for vegetation, both before and after development by subtracting all impervious areas from the site area. Green roofs are included in the percent vegetated calculations.
A negative value for the "Increase in Percent of Vegetated Area" field indicates a decrease, which is not desirable.</t>
  </si>
  <si>
    <t>Vegetation Quality Score - Pre-Development</t>
  </si>
  <si>
    <t>Vegetation Quality Score - Post-Development</t>
  </si>
  <si>
    <t>Percent of Total Energy from On-Site Renewable Source - Measured </t>
  </si>
  <si>
    <t>Percent of Total Energy from Off-Site Renewable Source - Measured </t>
  </si>
  <si>
    <t>Was daylight modeling performed?</t>
  </si>
  <si>
    <t>Percentage of Floor Area that was Reused or Adapted</t>
  </si>
  <si>
    <t>Floor Area that was Reused or Adapted</t>
  </si>
  <si>
    <t>Embodied Carbon</t>
  </si>
  <si>
    <t>Percent Potable Water</t>
  </si>
  <si>
    <t>Use Reduction</t>
  </si>
  <si>
    <t>Percent of Total Annual Energy from</t>
  </si>
  <si>
    <t>On-Site Renewables</t>
  </si>
  <si>
    <t>Off-Site Renewables</t>
  </si>
  <si>
    <r>
      <t>$ / kg-CO</t>
    </r>
    <r>
      <rPr>
        <vertAlign val="subscript"/>
        <sz val="10"/>
        <color rgb="FF000000"/>
        <rFont val="Calibri"/>
        <family val="2"/>
      </rPr>
      <t>2</t>
    </r>
    <r>
      <rPr>
        <sz val="10"/>
        <color rgb="FF000000"/>
        <rFont val="Calibri"/>
        <family val="2"/>
      </rPr>
      <t>eq</t>
    </r>
  </si>
  <si>
    <r>
      <t>Percent of densely occupied spaces with CO</t>
    </r>
    <r>
      <rPr>
        <b/>
        <vertAlign val="subscript"/>
        <sz val="10"/>
        <color rgb="FF000000"/>
        <rFont val="Calibri"/>
        <family val="2"/>
      </rPr>
      <t>2</t>
    </r>
    <r>
      <rPr>
        <b/>
        <sz val="10"/>
        <color rgb="FF000000"/>
        <rFont val="Calibri"/>
        <family val="2"/>
      </rPr>
      <t xml:space="preserve"> sensor monitoring</t>
    </r>
  </si>
  <si>
    <r>
      <t xml:space="preserve">Are naturally ventilated spaces designed to meet ASHRAE 62.1–2010? </t>
    </r>
    <r>
      <rPr>
        <vertAlign val="superscript"/>
        <sz val="10"/>
        <color rgb="FF000000"/>
        <rFont val="Calibri"/>
        <family val="2"/>
      </rPr>
      <t>(?)</t>
    </r>
  </si>
  <si>
    <t>Choose ON-SITE metering type</t>
  </si>
  <si>
    <t>Off-Site Carbon Derating Table Sources</t>
  </si>
  <si>
    <t>Community Renewable Energy Facility</t>
  </si>
  <si>
    <t>Directly Owned Off-Site Renewable Energy System</t>
  </si>
  <si>
    <t>Physical Renewable Energy PPA</t>
  </si>
  <si>
    <t>Financial (Virtual) Renewable Energy PPA</t>
  </si>
  <si>
    <t>(Link to ASHRAE Maps)</t>
  </si>
  <si>
    <t>(Link for International Projects)</t>
  </si>
  <si>
    <r>
      <rPr>
        <u/>
        <sz val="10"/>
        <rFont val="Calibri"/>
        <family val="2"/>
      </rPr>
      <t xml:space="preserve">Step 1: Basic Project Information
</t>
    </r>
    <r>
      <rPr>
        <sz val="10"/>
        <rFont val="Calibri"/>
        <family val="2"/>
      </rPr>
      <t xml:space="preserve">For international projects, please refer to the links provided in each section and select a US-equivalent state/climate zone. 
Please approximate your building program to match the list of programs available in this calculator. For laboratory and single-family residential buildings, please allocate 100% of your building area to that type. 
</t>
    </r>
    <r>
      <rPr>
        <u/>
        <sz val="10"/>
        <rFont val="Calibri"/>
        <family val="2"/>
      </rPr>
      <t xml:space="preserve">
Step 2: Benchmarks</t>
    </r>
    <r>
      <rPr>
        <sz val="10"/>
        <rFont val="Calibri"/>
        <family val="2"/>
      </rPr>
      <t xml:space="preserve">
Benchmarks are assigned based on building-specific, national CBECS (2003) data for the project to be compared against and rely on program types selected. If a user-defined benchmark is present, the national benchmarks will be overridden. 
For AIA COTE Top Ten energy reductions, the benchmark should be user-defined using Architecture 2030's Zero Tool. Optional user-defined benchmarks can be entered above as a way of tracking any specific benchmarking research that the team conducted. </t>
    </r>
  </si>
  <si>
    <t>EPA Fact Sheet: Social Cost of Carbon</t>
  </si>
  <si>
    <t>Social Cost of Carbon</t>
  </si>
  <si>
    <t>The social cost of carbon (SC-CO2) is a measure, in dollars, of the long-term damage done by one ton of carbon dioxide (CO2) emissions in a given year. This dollar figure can be useful in calculating the value associated with carbon reduction. 
This section will auto-populate once you complete tabs "06 Energy" and "08 Resources".</t>
  </si>
  <si>
    <t xml:space="preserve">While increasing vegetated areas is desirable, certain types of vegetation have a higher environmental impact than other types. For example, replacing mature forests with turf removes habitat for insects and animals, increases stormwater runoff, and increases pesticide use. Click on each vegetation type to read detailed descriptions for each. </t>
  </si>
  <si>
    <t xml:space="preserve">Brookings Institute: Social Cost of Carbon Proposal </t>
  </si>
  <si>
    <t xml:space="preserve">Medium and high-quality vegetation is the most economically viable strategy for projects pursuing design solutions for carbon storage and sequestration. There are several tools in the market that can help projects evaluate the long-term carbon impacts related to landscape design. </t>
  </si>
  <si>
    <t>6.6 -  Window-Wall-Ratio (WWR)</t>
  </si>
  <si>
    <r>
      <rPr>
        <u/>
        <sz val="10"/>
        <color rgb="FF000000"/>
        <rFont val="Calibri"/>
        <family val="2"/>
      </rPr>
      <t>Lighting Power Density</t>
    </r>
    <r>
      <rPr>
        <sz val="10"/>
        <color rgb="FF000000"/>
        <rFont val="Calibri"/>
        <family val="2"/>
      </rPr>
      <t xml:space="preserve">: Calculate the total installed LPD for your building.
</t>
    </r>
    <r>
      <rPr>
        <u/>
        <sz val="10"/>
        <color rgb="FF000000"/>
        <rFont val="Calibri"/>
        <family val="2"/>
      </rPr>
      <t>Window-to-Wall Ratio</t>
    </r>
    <r>
      <rPr>
        <sz val="10"/>
        <color rgb="FF000000"/>
        <rFont val="Calibri"/>
        <family val="2"/>
      </rPr>
      <t>: Fill out either the building aggregate WWR or by façade orientation. Generally less that 40% WWR will be the most energy efficient.</t>
    </r>
  </si>
  <si>
    <t>How much floor area was already existing? What building elements were reused or adapted?</t>
  </si>
  <si>
    <t>Fill out section 8.4 in the "08 Resources" tab</t>
  </si>
  <si>
    <t>Fill out section 6.2 in the "06 Energy" tab</t>
  </si>
  <si>
    <t>CARE</t>
  </si>
  <si>
    <t xml:space="preserve">Some tools for calculating WBLCA include the landscape in the LCA scope, so depending on the tool used, the 10-yr social cost of carbon intensity may or may not include landscape. </t>
  </si>
  <si>
    <r>
      <rPr>
        <u/>
        <sz val="10"/>
        <color rgb="FF000000"/>
        <rFont val="Calibri"/>
        <family val="2"/>
      </rPr>
      <t>Rule of Thumb:</t>
    </r>
    <r>
      <rPr>
        <sz val="10"/>
        <color rgb="FF000000"/>
        <rFont val="Calibri"/>
        <family val="2"/>
      </rPr>
      <t xml:space="preserve"> Most ecosystems hit their carbon-carrying capacity in the first 100 years, so projects should limit the modeled time period to under 100 years. 60 years is a reasonable best practice for WBLCA.  </t>
    </r>
  </si>
  <si>
    <r>
      <t xml:space="preserve">Total Site Area </t>
    </r>
    <r>
      <rPr>
        <i/>
        <sz val="10"/>
        <color rgb="FF000000"/>
        <rFont val="Calibri"/>
        <family val="2"/>
      </rPr>
      <t>(Section 3.1)</t>
    </r>
  </si>
  <si>
    <r>
      <t xml:space="preserve">Total Site Area </t>
    </r>
    <r>
      <rPr>
        <i/>
        <sz val="10"/>
        <color rgb="FF000000"/>
        <rFont val="Calibri"/>
        <family val="2"/>
      </rPr>
      <t>(01 Introduction)</t>
    </r>
  </si>
  <si>
    <t>Total Site Area in Section 3.1 must match Site Area in 01 Introduction</t>
  </si>
  <si>
    <t>kg CO2e/sf</t>
  </si>
  <si>
    <t>What tool was used to calculate embodied carbon?</t>
  </si>
  <si>
    <t>Does the tool/model include carbon from the site/landscape?</t>
  </si>
  <si>
    <t>Type entry only, do not override cells in this section.</t>
  </si>
  <si>
    <t xml:space="preserve">Step 5 - Make sure a carbon conversion factor for electricity is entered in step 2 of the Introduction tab. For project locations not available on eGrid, use 852.3 lb/mWh. </t>
  </si>
  <si>
    <t>Environmental Quality Space Type Matrix</t>
  </si>
  <si>
    <t>Read-only versions are available for web preview</t>
  </si>
  <si>
    <t xml:space="preserve">Typical Cost of Energy </t>
  </si>
  <si>
    <t>Electricity from Utility Grid (kWh)</t>
  </si>
  <si>
    <t>Natural Gas (kcf)</t>
  </si>
  <si>
    <t>District Chilled Water (MBtu)</t>
  </si>
  <si>
    <t>District Steam (kLBs)</t>
  </si>
  <si>
    <t>Biomass (Tons)</t>
  </si>
  <si>
    <t>Electricity Produced (kWh)</t>
  </si>
  <si>
    <t xml:space="preserve">Step 6 - Make sure a carbon conversion factor for electricity is entered in step 2 of the Introduction tab. For project locations not available on eGrid, use 852.3 lb/mWh. </t>
  </si>
  <si>
    <t>This tool has been created by AIA COTE members to help architects calculate project performance metrics. After entering information on each measure tab, the "AIA COTE Top Ten Award Summary" tab provides a summary of inputs that need to be transferred to the awards application portal.
Whether it's used to better understand a design's performance or to streamline the process of submitting for the AIA COTE Top Ten award, this tool will allow easy, consistent calculation and evaluation of project performance metrics and benchmarking.
Note: This version is not compatible with Excel 2019 or older. 
For questions email cote@aia.org, we are looking to improve the tool, and appreciate your feedback!</t>
  </si>
  <si>
    <r>
      <rPr>
        <b/>
        <sz val="10"/>
        <color rgb="FF000000"/>
        <rFont val="Calibri"/>
        <family val="2"/>
      </rPr>
      <t xml:space="preserve">Albedo Ranges by Material Type
</t>
    </r>
    <r>
      <rPr>
        <u/>
        <sz val="10"/>
        <color rgb="FF000000"/>
        <rFont val="Calibri"/>
        <family val="2"/>
      </rPr>
      <t>Low-Slope Roof</t>
    </r>
    <r>
      <rPr>
        <b/>
        <sz val="10"/>
        <color rgb="FF000000"/>
        <rFont val="Calibri"/>
        <family val="2"/>
      </rPr>
      <t>:</t>
    </r>
    <r>
      <rPr>
        <sz val="10"/>
        <color rgb="FF000000"/>
        <rFont val="Calibri"/>
        <family val="2"/>
      </rPr>
      <t xml:space="preserve"> 3-year SRI value of at least 64 or initial SRI value of at least 82
</t>
    </r>
    <r>
      <rPr>
        <u/>
        <sz val="10"/>
        <color rgb="FF000000"/>
        <rFont val="Calibri"/>
        <family val="2"/>
      </rPr>
      <t>Steep-Slope Roof:</t>
    </r>
    <r>
      <rPr>
        <sz val="10"/>
        <color rgb="FF000000"/>
        <rFont val="Calibri"/>
        <family val="2"/>
      </rPr>
      <t xml:space="preserve"> 3-year SRI of at least 32 or initial SRI value of at least 39
</t>
    </r>
    <r>
      <rPr>
        <u/>
        <sz val="10"/>
        <color rgb="FF000000"/>
        <rFont val="Calibri"/>
        <family val="2"/>
      </rPr>
      <t>Hardscape</t>
    </r>
    <r>
      <rPr>
        <sz val="10"/>
        <color rgb="FF000000"/>
        <rFont val="Calibri"/>
        <family val="2"/>
      </rPr>
      <t>: 3-year aged SR value of at least 0.28 or initial SR value of at least 0.33</t>
    </r>
  </si>
  <si>
    <t xml:space="preserve">Enter the monthly modeled and measured water consumption for each water source. Leave cells blank where you do not have a value.
1 - Predicted demand water use is pre-entered from the above calculator and only takes into account bathroom use, irrigation, and an order of magnitude estimate for cooling tower use.  (Note: Due to complexity and variability, water used in restaurants, laboratories, or industrial processes, is not taken into account.)
2 - Measured potable use can come from utility bills.
3 - For reclaimed and rainwater, only include the nonpotable water that is reused for another purpose (gray/black/purple pipe) and offsets a potential potable use, such as irrigation, condensate, foundation water, or other sources not already accounted for in this calculator.
</t>
  </si>
  <si>
    <t>Choose the most relevant description of passive functionality and type of backup power from the dropdown to determine your resiliency score.
Passive survivability in this context refers to the building envelope being designed to maintain comfortable thermal conditions indoors in the event of extended loss of power.</t>
  </si>
  <si>
    <t>Softscape Area</t>
  </si>
  <si>
    <t>Hardscape Area</t>
  </si>
  <si>
    <t>3.1 - Landscaped Area</t>
  </si>
  <si>
    <t>Building Footprint</t>
  </si>
  <si>
    <t>Surface Parking</t>
  </si>
  <si>
    <t>Other On-site Hardscapes</t>
  </si>
  <si>
    <t xml:space="preserve">When dark surfaces absorb heat from the sun, they emit that heat back into the atmosphere, raising ambient temperatures in dense urban areas by several degrees. This cycle is known as the heat-island effect. Light-colored hardscape and roof surfaces reflect heat from the sun and reduce the heat island effect.  If dark-colored surfaces cannot be lightened, increasing tree canopy coverage will provide sufficient shade to mitigate the heat island effect. EXCLUDE green roof area from these section. </t>
  </si>
  <si>
    <r>
      <t xml:space="preserve">Total Softscape Area </t>
    </r>
    <r>
      <rPr>
        <i/>
        <sz val="10"/>
        <color rgb="FF000000"/>
        <rFont val="Calibri"/>
        <family val="2"/>
      </rPr>
      <t>(Section 3.1)</t>
    </r>
  </si>
  <si>
    <r>
      <t xml:space="preserve">Total Softscape Area </t>
    </r>
    <r>
      <rPr>
        <i/>
        <sz val="10"/>
        <color rgb="FF000000"/>
        <rFont val="Calibri"/>
        <family val="2"/>
      </rPr>
      <t>(Section 3.2)</t>
    </r>
  </si>
  <si>
    <t>Total Softscape Area must match between Sections 3.1 &amp; 3.2</t>
  </si>
  <si>
    <t>Other On-Site Vegetation</t>
  </si>
  <si>
    <t>Softscape Area Subtotal</t>
  </si>
  <si>
    <t>Hardscape Area Subtotal</t>
  </si>
  <si>
    <t>Shaded or High Albedo Area Subtotal</t>
  </si>
  <si>
    <r>
      <t>Total Hardscape Area (</t>
    </r>
    <r>
      <rPr>
        <i/>
        <sz val="10"/>
        <color rgb="FF000000"/>
        <rFont val="Calibri"/>
        <family val="2"/>
      </rPr>
      <t>Section 3.1</t>
    </r>
    <r>
      <rPr>
        <sz val="10"/>
        <color rgb="FF000000"/>
        <rFont val="Calibri"/>
        <family val="2"/>
      </rPr>
      <t>)</t>
    </r>
  </si>
  <si>
    <t>Percent of Hardscaped Area Shaded or High Albedo</t>
  </si>
  <si>
    <t>ERROR: Area Irrigated is Larger than Total Softscaped Area</t>
  </si>
  <si>
    <r>
      <t xml:space="preserve">Landscape Type </t>
    </r>
    <r>
      <rPr>
        <b/>
        <sz val="10"/>
        <color rgb="FF000000"/>
        <rFont val="Wingdings 3"/>
        <family val="1"/>
        <charset val="2"/>
      </rPr>
      <t></t>
    </r>
  </si>
  <si>
    <r>
      <t xml:space="preserve">Water Use </t>
    </r>
    <r>
      <rPr>
        <b/>
        <sz val="10"/>
        <color rgb="FF000000"/>
        <rFont val="Wingdings 3"/>
        <family val="1"/>
        <charset val="2"/>
      </rPr>
      <t></t>
    </r>
  </si>
  <si>
    <r>
      <t>Irrigation Type</t>
    </r>
    <r>
      <rPr>
        <b/>
        <vertAlign val="superscript"/>
        <sz val="10"/>
        <color rgb="FF000000"/>
        <rFont val="Calibri"/>
        <family val="2"/>
      </rPr>
      <t>1</t>
    </r>
    <r>
      <rPr>
        <b/>
        <sz val="10"/>
        <color rgb="FF000000"/>
        <rFont val="Calibri"/>
        <family val="2"/>
      </rPr>
      <t xml:space="preserve"> </t>
    </r>
    <r>
      <rPr>
        <b/>
        <sz val="10"/>
        <color rgb="FF000000"/>
        <rFont val="Wingdings 3"/>
        <family val="1"/>
        <charset val="2"/>
      </rPr>
      <t></t>
    </r>
  </si>
  <si>
    <t>Step 1 - Use the dropdowns to select the fuel types Consumed (as applicable) by your project. "DCW" stands for District Chilled Water. 
Step 2 - Enter the local energy cost for each fuel type (if available). The cost of renewables is calculated as negative. 
Step 3 - Select and confirm the unit of measurement for each fuel type, i.e. kWh or kBTU of grid electricity.
Step 4 - Enter monthly Energy CONSUMPTION and PRODUCTION data from predictive energy model. Projects can enter annual data or start with a month other than January. For annual values delete months and replace "January" with "Annual". Months can also be rearranged as long as 12 consecutive months of data is provided.</t>
  </si>
  <si>
    <r>
      <t xml:space="preserve">Step 1 - Use the Yes/No dropdowns to describe the presence of on-site and off-site renewable systems. For on-site systems, confirm how energy is metered by the utility company. For off-site systems, select the type sourced.
Step 2 - Use the dropdowns to select the fuel types Consumed (as applicable) by your project. "DCW" stands for District Chilled Water. 
Step 3 - Enter the local energy cost for each fuel type (if available). The cost of renewables is calculated as negative. 
Step 4 - Select and confirm the unit of measurement for each fuel type, i.e. kWh or kBTU of grid electricity.
Step 5 - Enter monthly Energy CONSUMPTION and PRODUCTION data from utility bills, BMS, solar array, or other metered sources. Projects can enter Annual data or start with a month other than January. For annual values delete months and replace "January" with "Annual". Months can also be rearranged as long as 12 consecutive months of data is provided.
</t>
    </r>
    <r>
      <rPr>
        <b/>
        <u/>
        <sz val="10"/>
        <color rgb="FF000000"/>
        <rFont val="Calibri"/>
        <family val="2"/>
      </rPr>
      <t>NOTE:</t>
    </r>
    <r>
      <rPr>
        <sz val="10"/>
        <color rgb="FF000000"/>
        <rFont val="Calibri"/>
        <family val="2"/>
      </rPr>
      <t xml:space="preserve"> The Energy PRODUCTION section is unlocked (inc'd green cells) and uses conditional statements to provide visual cues. Please do not copy and paste anything over these cells. </t>
    </r>
  </si>
  <si>
    <t>Total Hardscape Area in Section 3.3 cannot exceed Section 3.2</t>
  </si>
  <si>
    <t>Other Hardscape Surfaces</t>
  </si>
  <si>
    <t xml:space="preserve">Giving occupants control over their immediate environment, specifically thermal and visual conditions can increase productivity, comfort, and well-being. 
Use the dropdowns to select Yes/No for each criterion as applicable to your project. Multi-occupant and individual spaces are defined by LEED, use the Environmental Quality Space Type Matrix (link under Source section) to determine how to classify spaces and correctly answer Occupant Control questions. </t>
  </si>
  <si>
    <t>10-yr Social Cost of Carbon</t>
  </si>
  <si>
    <r>
      <t>$ / kg CO</t>
    </r>
    <r>
      <rPr>
        <vertAlign val="subscript"/>
        <sz val="10"/>
        <color rgb="FF000000"/>
        <rFont val="Calibri"/>
        <family val="2"/>
      </rPr>
      <t>2</t>
    </r>
    <r>
      <rPr>
        <sz val="10"/>
        <color rgb="FF000000"/>
        <rFont val="Calibri"/>
        <family val="2"/>
      </rPr>
      <t>e</t>
    </r>
  </si>
  <si>
    <t>$ / kg CO2e / sf</t>
  </si>
  <si>
    <r>
      <t>kg-CO</t>
    </r>
    <r>
      <rPr>
        <vertAlign val="subscript"/>
        <sz val="10"/>
        <color rgb="FF000000"/>
        <rFont val="Calibri"/>
        <family val="2"/>
      </rPr>
      <t>2</t>
    </r>
    <r>
      <rPr>
        <sz val="10"/>
        <color rgb="FF000000"/>
        <rFont val="Calibri"/>
        <family val="2"/>
      </rPr>
      <t>e/m</t>
    </r>
    <r>
      <rPr>
        <vertAlign val="superscript"/>
        <sz val="10"/>
        <color rgb="FF000000"/>
        <rFont val="Calibri"/>
        <family val="2"/>
      </rPr>
      <t>2</t>
    </r>
    <r>
      <rPr>
        <sz val="10"/>
        <color rgb="FF000000"/>
        <rFont val="Calibri"/>
        <family val="2"/>
      </rPr>
      <t>/yr</t>
    </r>
  </si>
  <si>
    <t>Gross Operational Carbon Intensity</t>
  </si>
  <si>
    <r>
      <rPr>
        <u/>
        <sz val="10"/>
        <color rgb="FF000000"/>
        <rFont val="Calibri"/>
        <family val="2"/>
      </rPr>
      <t>PPA - Physical Renewable Energy Power Purchase Agreement:</t>
    </r>
    <r>
      <rPr>
        <sz val="10"/>
        <color rgb="FF000000"/>
        <rFont val="Calibri"/>
        <family val="2"/>
      </rPr>
      <t xml:space="preserve"> a contract for the purchase of renewable electricity and associated renewable energy certificate from a specific renewable electricity generator (the seller) to a purchaser of renewable electricity. </t>
    </r>
  </si>
  <si>
    <t xml:space="preserve"> Consumption Carbon Subtotal</t>
  </si>
  <si>
    <t>Production Carbon Subtotal</t>
  </si>
  <si>
    <t>Annual Operational Carbon CONSUMPTION</t>
  </si>
  <si>
    <t>Annual Operational Carbon PRODUCTION</t>
  </si>
  <si>
    <t>All Other Fuel Source</t>
  </si>
  <si>
    <t>Net Annual Energy</t>
  </si>
  <si>
    <t>Net Annual Operational Carbon</t>
  </si>
  <si>
    <r>
      <t xml:space="preserve">Negative values for </t>
    </r>
    <r>
      <rPr>
        <b/>
        <sz val="10"/>
        <color rgb="FF000000"/>
        <rFont val="Calibri"/>
        <family val="2"/>
      </rPr>
      <t>percent reduction</t>
    </r>
    <r>
      <rPr>
        <sz val="10"/>
        <color rgb="FF000000"/>
        <rFont val="Calibri"/>
        <family val="2"/>
      </rPr>
      <t xml:space="preserve"> indicate an increase in energy or carbon from the benchmark. </t>
    </r>
  </si>
  <si>
    <t>Energy Consumption Subtotal</t>
  </si>
  <si>
    <t>Energy Production Subtotal</t>
  </si>
  <si>
    <t>Percent Reduction in Operational Carbon (inclusive of renewables) from Benchmark - Measured </t>
  </si>
  <si>
    <r>
      <t>$ / ton CO</t>
    </r>
    <r>
      <rPr>
        <vertAlign val="subscript"/>
        <sz val="10"/>
        <color rgb="FF000000"/>
        <rFont val="Calibri"/>
        <family val="2"/>
      </rPr>
      <t>2</t>
    </r>
    <r>
      <rPr>
        <sz val="10"/>
        <color rgb="FF000000"/>
        <rFont val="Calibri"/>
        <family val="2"/>
      </rPr>
      <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</si>
</sst>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4" formatCode="_(&quot;$&quot;* #,##0.00_);_(&quot;$&quot;* \(#,##0.00\);_(&quot;$&quot;* &quot;-&quot;??_);_(@_)"/>
    <numFmt numFmtId="43" formatCode="_(* #,##0.00_);_(* \(#,##0.00\);_(* &quot;-&quot;??_);_(@_)"/>
    <numFmt numFmtId="164" formatCode="_(* #,##0_);_(* \(#,##0\);_(* &quot;-&quot;??_);_(@_)"/>
    <numFmt numFmtId="165" formatCode="&quot;$&quot;#,##0"/>
    <numFmt numFmtId="166" formatCode="0.0%"/>
    <numFmt numFmtId="167" formatCode="0.0"/>
    <numFmt numFmtId="168" formatCode="_(* #,##0.0_);_(* \(#,##0.0\);_(* &quot;-&quot;??_);_(@_)"/>
    <numFmt numFmtId="169" formatCode="0.000"/>
    <numFmt numFmtId="170" formatCode="#,##0.0"/>
    <numFmt numFmtId="171" formatCode="&quot;$&quot;#,##0.00"/>
    <numFmt numFmtId="172" formatCode="#,##0.000"/>
    <numFmt numFmtId="173" formatCode="0.0000"/>
    <numFmt numFmtId="174" formatCode="0.00;\-0.00;;@"/>
    <numFmt numFmtId="175" formatCode="0.00_);\(0.00\)"/>
    <numFmt numFmtId="176" formatCode="00000"/>
    <numFmt numFmtId="177" formatCode="#,##0.0000"/>
  </numFmts>
  <fonts count="72" x14ac:knownFonts="1">
    <font>
      <sz val="11"/>
      <color rgb="FF000000"/>
      <name val="Calibri"/>
    </font>
    <font>
      <sz val="11"/>
      <color theme="1"/>
      <name val="Calibri"/>
      <family val="2"/>
      <scheme val="minor"/>
    </font>
    <font>
      <sz val="11"/>
      <color theme="1"/>
      <name val="Calibri"/>
      <family val="2"/>
      <scheme val="minor"/>
    </font>
    <font>
      <b/>
      <sz val="16"/>
      <color rgb="FFFFFFFF"/>
      <name val="Calibri"/>
      <family val="2"/>
    </font>
    <font>
      <sz val="11"/>
      <name val="Calibri"/>
      <family val="2"/>
    </font>
    <font>
      <sz val="11"/>
      <color rgb="FFFFFFFF"/>
      <name val="Calibri"/>
      <family val="2"/>
    </font>
    <font>
      <b/>
      <sz val="11"/>
      <name val="Calibri"/>
      <family val="2"/>
    </font>
    <font>
      <b/>
      <sz val="11"/>
      <color rgb="FF000000"/>
      <name val="Calibri"/>
      <family val="2"/>
    </font>
    <font>
      <sz val="10"/>
      <color rgb="FF000000"/>
      <name val="Calibri"/>
      <family val="2"/>
    </font>
    <font>
      <sz val="10"/>
      <name val="Calibri"/>
      <family val="2"/>
    </font>
    <font>
      <b/>
      <sz val="9"/>
      <color rgb="FF000000"/>
      <name val="Calibri"/>
      <family val="2"/>
    </font>
    <font>
      <sz val="10"/>
      <color rgb="FFFFFFFF"/>
      <name val="Calibri"/>
      <family val="2"/>
    </font>
    <font>
      <u/>
      <sz val="10"/>
      <color rgb="FF000000"/>
      <name val="Calibri"/>
      <family val="2"/>
    </font>
    <font>
      <b/>
      <sz val="10"/>
      <color rgb="FF000000"/>
      <name val="Calibri"/>
      <family val="2"/>
    </font>
    <font>
      <b/>
      <sz val="10"/>
      <name val="Calibri"/>
      <family val="2"/>
    </font>
    <font>
      <b/>
      <sz val="10"/>
      <color rgb="FFFFFFFF"/>
      <name val="Calibri"/>
      <family val="2"/>
    </font>
    <font>
      <sz val="8"/>
      <color rgb="FF000000"/>
      <name val="Calibri"/>
      <family val="2"/>
    </font>
    <font>
      <sz val="9"/>
      <color rgb="FF000000"/>
      <name val="Calibri"/>
      <family val="2"/>
    </font>
    <font>
      <sz val="10"/>
      <color rgb="FFFF0000"/>
      <name val="Calibri"/>
      <family val="2"/>
    </font>
    <font>
      <b/>
      <sz val="24"/>
      <color rgb="FFFFFFFF"/>
      <name val="Calibri"/>
      <family val="2"/>
    </font>
    <font>
      <sz val="11"/>
      <color rgb="FFFF0000"/>
      <name val="Calibri"/>
      <family val="2"/>
    </font>
    <font>
      <i/>
      <sz val="10"/>
      <color rgb="FFB7B7B7"/>
      <name val="Inconsolata"/>
    </font>
    <font>
      <sz val="10"/>
      <color rgb="FF999999"/>
      <name val="Calibri"/>
      <family val="2"/>
    </font>
    <font>
      <sz val="10"/>
      <color rgb="FFB7B7B7"/>
      <name val="Calibri"/>
      <family val="2"/>
    </font>
    <font>
      <vertAlign val="subscript"/>
      <sz val="10"/>
      <color rgb="FF000000"/>
      <name val="Calibri"/>
      <family val="2"/>
    </font>
    <font>
      <b/>
      <vertAlign val="subscript"/>
      <sz val="10"/>
      <color rgb="FF000000"/>
      <name val="Calibri"/>
      <family val="2"/>
    </font>
    <font>
      <vertAlign val="superscript"/>
      <sz val="10"/>
      <color rgb="FF000000"/>
      <name val="Calibri"/>
      <family val="2"/>
    </font>
    <font>
      <sz val="11"/>
      <color rgb="FF000000"/>
      <name val="Calibri"/>
      <family val="2"/>
    </font>
    <font>
      <u/>
      <sz val="11"/>
      <color theme="10"/>
      <name val="Calibri"/>
      <family val="2"/>
    </font>
    <font>
      <sz val="11"/>
      <color rgb="FF000000"/>
      <name val="Calibri"/>
      <family val="2"/>
    </font>
    <font>
      <u/>
      <sz val="10"/>
      <name val="Calibri"/>
      <family val="2"/>
    </font>
    <font>
      <sz val="10"/>
      <color theme="0" tint="-0.499984740745262"/>
      <name val="Calibri"/>
      <family val="2"/>
    </font>
    <font>
      <sz val="11"/>
      <color rgb="FF000000"/>
      <name val="Calibri"/>
      <family val="2"/>
    </font>
    <font>
      <b/>
      <vertAlign val="superscript"/>
      <sz val="10"/>
      <color rgb="FF000000"/>
      <name val="Calibri"/>
      <family val="2"/>
    </font>
    <font>
      <sz val="10"/>
      <color theme="1" tint="0.499984740745262"/>
      <name val="Calibri"/>
      <family val="2"/>
    </font>
    <font>
      <sz val="10"/>
      <color theme="0"/>
      <name val="Calibri"/>
      <family val="2"/>
    </font>
    <font>
      <b/>
      <u/>
      <sz val="16"/>
      <color rgb="FFFFFFFF"/>
      <name val="Calibri"/>
      <family val="2"/>
    </font>
    <font>
      <sz val="10"/>
      <color theme="1"/>
      <name val="Calibri"/>
      <family val="2"/>
      <scheme val="minor"/>
    </font>
    <font>
      <i/>
      <sz val="10"/>
      <color theme="1" tint="0.34998626667073579"/>
      <name val="Calibri"/>
      <family val="2"/>
    </font>
    <font>
      <sz val="8"/>
      <name val="Calibri"/>
      <family val="2"/>
    </font>
    <font>
      <b/>
      <sz val="10"/>
      <color rgb="FFFF0000"/>
      <name val="Calibri"/>
      <family val="2"/>
    </font>
    <font>
      <u/>
      <sz val="10"/>
      <color theme="10"/>
      <name val="Calibri"/>
      <family val="2"/>
    </font>
    <font>
      <b/>
      <u/>
      <sz val="10"/>
      <color rgb="FF000000"/>
      <name val="Calibri"/>
      <family val="2"/>
    </font>
    <font>
      <i/>
      <sz val="10"/>
      <color rgb="FF000000"/>
      <name val="Calibri"/>
      <family val="2"/>
    </font>
    <font>
      <i/>
      <sz val="10"/>
      <name val="Calibri"/>
      <family val="2"/>
    </font>
    <font>
      <sz val="10"/>
      <color theme="4"/>
      <name val="Calibri"/>
      <family val="2"/>
    </font>
    <font>
      <b/>
      <sz val="10"/>
      <color theme="4"/>
      <name val="Calibri"/>
      <family val="2"/>
    </font>
    <font>
      <b/>
      <sz val="11"/>
      <color theme="0"/>
      <name val="Calibri"/>
      <family val="2"/>
    </font>
    <font>
      <sz val="10"/>
      <color rgb="FF333333"/>
      <name val="Calibri"/>
      <family val="2"/>
      <scheme val="minor"/>
    </font>
    <font>
      <b/>
      <sz val="10"/>
      <color theme="1" tint="0.34998626667073579"/>
      <name val="Calibri"/>
      <family val="2"/>
    </font>
    <font>
      <sz val="16"/>
      <color rgb="FFFFFFFF"/>
      <name val="Calibri"/>
      <family val="2"/>
    </font>
    <font>
      <sz val="16"/>
      <color rgb="FF000000"/>
      <name val="Calibri"/>
      <family val="2"/>
    </font>
    <font>
      <vertAlign val="superscript"/>
      <sz val="10"/>
      <name val="Calibri"/>
      <family val="2"/>
    </font>
    <font>
      <sz val="10"/>
      <color theme="1"/>
      <name val="Wingdings 3"/>
      <family val="1"/>
      <charset val="2"/>
    </font>
    <font>
      <sz val="10"/>
      <color rgb="FF000000"/>
      <name val="Wingdings 3"/>
      <family val="1"/>
      <charset val="2"/>
    </font>
    <font>
      <vertAlign val="superscript"/>
      <sz val="10"/>
      <color theme="1" tint="0.499984740745262"/>
      <name val="Calibri"/>
      <family val="2"/>
    </font>
    <font>
      <i/>
      <sz val="10"/>
      <color theme="9" tint="0.59999389629810485"/>
      <name val="Calibri"/>
      <family val="2"/>
    </font>
    <font>
      <sz val="10"/>
      <color theme="9" tint="0.59999389629810485"/>
      <name val="Calibri"/>
      <family val="2"/>
    </font>
    <font>
      <b/>
      <i/>
      <sz val="10"/>
      <color rgb="FFFFFFFF"/>
      <name val="Calibri"/>
      <family val="2"/>
    </font>
    <font>
      <b/>
      <sz val="10"/>
      <color theme="0"/>
      <name val="Calibri"/>
      <family val="2"/>
    </font>
    <font>
      <sz val="8"/>
      <color rgb="FF000000"/>
      <name val="Segoe UI"/>
      <family val="2"/>
    </font>
    <font>
      <b/>
      <sz val="10"/>
      <color theme="1"/>
      <name val="Calibri"/>
      <family val="2"/>
      <scheme val="minor"/>
    </font>
    <font>
      <b/>
      <vertAlign val="superscript"/>
      <sz val="10"/>
      <name val="Calibri"/>
      <family val="2"/>
    </font>
    <font>
      <sz val="10"/>
      <color theme="1"/>
      <name val="Calibri"/>
      <family val="2"/>
    </font>
    <font>
      <i/>
      <sz val="10"/>
      <color rgb="FFC00000"/>
      <name val="Calibri"/>
      <family val="2"/>
    </font>
    <font>
      <b/>
      <sz val="10"/>
      <color theme="1"/>
      <name val="Calibri"/>
      <family val="2"/>
    </font>
    <font>
      <b/>
      <sz val="10"/>
      <color rgb="FFC00000"/>
      <name val="Calibri"/>
      <family val="2"/>
    </font>
    <font>
      <b/>
      <sz val="10"/>
      <color theme="9" tint="0.59999389629810485"/>
      <name val="Calibri"/>
      <family val="2"/>
    </font>
    <font>
      <sz val="10"/>
      <name val="Wingdings 3"/>
      <family val="1"/>
      <charset val="2"/>
    </font>
    <font>
      <sz val="10"/>
      <color theme="2" tint="-9.9978637043366805E-2"/>
      <name val="Calibri"/>
      <family val="2"/>
    </font>
    <font>
      <b/>
      <sz val="10"/>
      <color rgb="FF000000"/>
      <name val="Wingdings 3"/>
      <family val="1"/>
      <charset val="2"/>
    </font>
    <font>
      <sz val="10"/>
      <color rgb="FFB7CDD1"/>
      <name val="Calibri"/>
      <family val="2"/>
    </font>
  </fonts>
  <fills count="84">
    <fill>
      <patternFill patternType="none"/>
    </fill>
    <fill>
      <patternFill patternType="gray125"/>
    </fill>
    <fill>
      <patternFill patternType="solid">
        <fgColor rgb="FF073763"/>
        <bgColor rgb="FF073763"/>
      </patternFill>
    </fill>
    <fill>
      <patternFill patternType="solid">
        <fgColor rgb="FFFFFFFF"/>
        <bgColor rgb="FFFFFFFF"/>
      </patternFill>
    </fill>
    <fill>
      <patternFill patternType="solid">
        <fgColor rgb="FFC9DAF8"/>
        <bgColor rgb="FFC9DAF8"/>
      </patternFill>
    </fill>
    <fill>
      <patternFill patternType="solid">
        <fgColor rgb="FFCCCCCC"/>
        <bgColor rgb="FFCCCCCC"/>
      </patternFill>
    </fill>
    <fill>
      <patternFill patternType="solid">
        <fgColor rgb="FFB7CDD1"/>
        <bgColor rgb="FFB7CDD1"/>
      </patternFill>
    </fill>
    <fill>
      <patternFill patternType="solid">
        <fgColor rgb="FFFFE599"/>
        <bgColor rgb="FFFFE599"/>
      </patternFill>
    </fill>
    <fill>
      <patternFill patternType="solid">
        <fgColor rgb="FFAECAD0"/>
        <bgColor rgb="FFAECAD0"/>
      </patternFill>
    </fill>
    <fill>
      <patternFill patternType="solid">
        <fgColor rgb="FFD9D9D9"/>
        <bgColor rgb="FFD9D9D9"/>
      </patternFill>
    </fill>
    <fill>
      <patternFill patternType="solid">
        <fgColor rgb="FFFFE598"/>
        <bgColor rgb="FFFFE598"/>
      </patternFill>
    </fill>
    <fill>
      <patternFill patternType="solid">
        <fgColor rgb="FF666666"/>
        <bgColor rgb="FF666666"/>
      </patternFill>
    </fill>
    <fill>
      <patternFill patternType="solid">
        <fgColor theme="7" tint="0.59999389629810485"/>
        <bgColor indexed="65"/>
      </patternFill>
    </fill>
    <fill>
      <patternFill patternType="solid">
        <fgColor theme="0"/>
        <bgColor rgb="FFD9E2F3"/>
      </patternFill>
    </fill>
    <fill>
      <patternFill patternType="solid">
        <fgColor theme="2" tint="-9.9978637043366805E-2"/>
        <bgColor indexed="64"/>
      </patternFill>
    </fill>
    <fill>
      <patternFill patternType="solid">
        <fgColor theme="2" tint="-9.9978637043366805E-2"/>
        <bgColor rgb="FFAECAD0"/>
      </patternFill>
    </fill>
    <fill>
      <patternFill patternType="solid">
        <fgColor theme="2" tint="-9.9978637043366805E-2"/>
        <bgColor rgb="FF76A5AF"/>
      </patternFill>
    </fill>
    <fill>
      <patternFill patternType="solid">
        <fgColor theme="2" tint="-9.9978637043366805E-2"/>
        <bgColor rgb="FFB7CDD1"/>
      </patternFill>
    </fill>
    <fill>
      <patternFill patternType="solid">
        <fgColor theme="2" tint="-9.9978637043366805E-2"/>
        <bgColor rgb="FFCCCCCC"/>
      </patternFill>
    </fill>
    <fill>
      <patternFill patternType="solid">
        <fgColor theme="2" tint="-9.9978637043366805E-2"/>
        <bgColor rgb="FFB7B7B7"/>
      </patternFill>
    </fill>
    <fill>
      <patternFill patternType="solid">
        <fgColor rgb="FFB7CDD1"/>
        <bgColor rgb="FFFFE599"/>
      </patternFill>
    </fill>
    <fill>
      <patternFill patternType="solid">
        <fgColor rgb="FFB7CDD1"/>
        <bgColor indexed="64"/>
      </patternFill>
    </fill>
    <fill>
      <patternFill patternType="solid">
        <fgColor rgb="FFB7CDD1"/>
        <bgColor rgb="FFB6D7A8"/>
      </patternFill>
    </fill>
    <fill>
      <patternFill patternType="solid">
        <fgColor rgb="FFB7CDD1"/>
        <bgColor rgb="FFFFFFFF"/>
      </patternFill>
    </fill>
    <fill>
      <patternFill patternType="solid">
        <fgColor theme="2" tint="-9.9978637043366805E-2"/>
        <bgColor rgb="FFFFFFFF"/>
      </patternFill>
    </fill>
    <fill>
      <patternFill patternType="solid">
        <fgColor rgb="FFC9DAF8"/>
        <bgColor rgb="FFFFFFFF"/>
      </patternFill>
    </fill>
    <fill>
      <patternFill patternType="solid">
        <fgColor theme="7" tint="0.59999389629810485"/>
        <bgColor rgb="FFFFFFFF"/>
      </patternFill>
    </fill>
    <fill>
      <patternFill patternType="solid">
        <fgColor rgb="FFB7CDD1"/>
        <bgColor rgb="FFAECAD0"/>
      </patternFill>
    </fill>
    <fill>
      <patternFill patternType="solid">
        <fgColor theme="7" tint="0.59999389629810485"/>
        <bgColor rgb="FFB7CDD1"/>
      </patternFill>
    </fill>
    <fill>
      <patternFill patternType="solid">
        <fgColor theme="0"/>
        <bgColor indexed="64"/>
      </patternFill>
    </fill>
    <fill>
      <patternFill patternType="solid">
        <fgColor theme="0"/>
        <bgColor rgb="FFFFFFFF"/>
      </patternFill>
    </fill>
    <fill>
      <patternFill patternType="solid">
        <fgColor theme="0"/>
        <bgColor rgb="FFFFE598"/>
      </patternFill>
    </fill>
    <fill>
      <patternFill patternType="solid">
        <fgColor theme="0"/>
        <bgColor rgb="FFFFE599"/>
      </patternFill>
    </fill>
    <fill>
      <patternFill patternType="solid">
        <fgColor theme="0" tint="-0.14999847407452621"/>
        <bgColor indexed="64"/>
      </patternFill>
    </fill>
    <fill>
      <patternFill patternType="solid">
        <fgColor theme="0"/>
        <bgColor rgb="FFD0E0E3"/>
      </patternFill>
    </fill>
    <fill>
      <patternFill patternType="solid">
        <fgColor rgb="FFC9DAF8"/>
        <bgColor rgb="FFD9E2F3"/>
      </patternFill>
    </fill>
    <fill>
      <patternFill patternType="solid">
        <fgColor rgb="FFC9DAF8"/>
        <bgColor indexed="64"/>
      </patternFill>
    </fill>
    <fill>
      <patternFill patternType="solid">
        <fgColor rgb="FFC9DAF8"/>
        <bgColor rgb="FFCFE2F3"/>
      </patternFill>
    </fill>
    <fill>
      <patternFill patternType="solid">
        <fgColor theme="7" tint="0.59999389629810485"/>
        <bgColor rgb="FFFFE599"/>
      </patternFill>
    </fill>
    <fill>
      <patternFill patternType="solid">
        <fgColor theme="9" tint="-0.249977111117893"/>
        <bgColor rgb="FF073763"/>
      </patternFill>
    </fill>
    <fill>
      <patternFill patternType="solid">
        <fgColor theme="0"/>
        <bgColor rgb="FFB7CDD1"/>
      </patternFill>
    </fill>
    <fill>
      <patternFill patternType="solid">
        <fgColor theme="9" tint="0.59999389629810485"/>
        <bgColor rgb="FFB7CDD1"/>
      </patternFill>
    </fill>
    <fill>
      <patternFill patternType="solid">
        <fgColor theme="9" tint="0.59999389629810485"/>
        <bgColor indexed="64"/>
      </patternFill>
    </fill>
    <fill>
      <patternFill patternType="solid">
        <fgColor theme="9" tint="0.59999389629810485"/>
        <bgColor rgb="FFFFFFFF"/>
      </patternFill>
    </fill>
    <fill>
      <patternFill patternType="solid">
        <fgColor theme="0"/>
        <bgColor rgb="FFCCCCCC"/>
      </patternFill>
    </fill>
    <fill>
      <patternFill patternType="solid">
        <fgColor theme="9" tint="0.59999389629810485"/>
        <bgColor rgb="FFAECAD0"/>
      </patternFill>
    </fill>
    <fill>
      <patternFill patternType="solid">
        <fgColor theme="7" tint="0.79998168889431442"/>
        <bgColor rgb="FFB7CDD1"/>
      </patternFill>
    </fill>
    <fill>
      <patternFill patternType="solid">
        <fgColor theme="5" tint="0.79998168889431442"/>
        <bgColor rgb="FF76A5AF"/>
      </patternFill>
    </fill>
    <fill>
      <patternFill patternType="solid">
        <fgColor theme="5" tint="0.79998168889431442"/>
        <bgColor rgb="FFB7CDD1"/>
      </patternFill>
    </fill>
    <fill>
      <patternFill patternType="solid">
        <fgColor theme="7" tint="0.79998168889431442"/>
        <bgColor rgb="FFB7B7B7"/>
      </patternFill>
    </fill>
    <fill>
      <patternFill patternType="solid">
        <fgColor theme="7" tint="0.79998168889431442"/>
        <bgColor rgb="FFFFFFFF"/>
      </patternFill>
    </fill>
    <fill>
      <patternFill patternType="solid">
        <fgColor theme="7" tint="0.79998168889431442"/>
        <bgColor indexed="64"/>
      </patternFill>
    </fill>
    <fill>
      <patternFill patternType="solid">
        <fgColor theme="4" tint="0.79998168889431442"/>
        <bgColor rgb="FFCCCCCC"/>
      </patternFill>
    </fill>
    <fill>
      <patternFill patternType="solid">
        <fgColor theme="4" tint="0.79998168889431442"/>
        <bgColor indexed="64"/>
      </patternFill>
    </fill>
    <fill>
      <patternFill patternType="solid">
        <fgColor theme="4" tint="0.79998168889431442"/>
        <bgColor rgb="FFB7CDD1"/>
      </patternFill>
    </fill>
    <fill>
      <patternFill patternType="solid">
        <fgColor theme="0" tint="-0.34998626667073579"/>
        <bgColor rgb="FF76A5AF"/>
      </patternFill>
    </fill>
    <fill>
      <patternFill patternType="solid">
        <fgColor theme="0" tint="-0.34998626667073579"/>
        <bgColor rgb="FFFFFFFF"/>
      </patternFill>
    </fill>
    <fill>
      <patternFill patternType="solid">
        <fgColor theme="0" tint="-0.34998626667073579"/>
        <bgColor indexed="64"/>
      </patternFill>
    </fill>
    <fill>
      <patternFill patternType="solid">
        <fgColor theme="0" tint="-0.34998626667073579"/>
        <bgColor rgb="FFB7B7B7"/>
      </patternFill>
    </fill>
    <fill>
      <patternFill patternType="solid">
        <fgColor theme="9" tint="0.79998168889431442"/>
        <bgColor rgb="FFFFFFFF"/>
      </patternFill>
    </fill>
    <fill>
      <patternFill patternType="solid">
        <fgColor theme="9" tint="0.59999389629810485"/>
        <bgColor indexed="65"/>
      </patternFill>
    </fill>
    <fill>
      <patternFill patternType="solid">
        <fgColor theme="9" tint="0.59999389629810485"/>
        <bgColor rgb="FFFFE599"/>
      </patternFill>
    </fill>
    <fill>
      <patternFill patternType="solid">
        <fgColor theme="7" tint="0.59999389629810485"/>
        <bgColor indexed="64"/>
      </patternFill>
    </fill>
    <fill>
      <patternFill patternType="solid">
        <fgColor theme="9" tint="0.59999389629810485"/>
        <bgColor rgb="FFFFE598"/>
      </patternFill>
    </fill>
    <fill>
      <patternFill patternType="solid">
        <fgColor rgb="FFB7CDD1"/>
        <bgColor rgb="FFCCCCCC"/>
      </patternFill>
    </fill>
    <fill>
      <patternFill patternType="solid">
        <fgColor theme="0"/>
        <bgColor rgb="FF073763"/>
      </patternFill>
    </fill>
    <fill>
      <patternFill patternType="solid">
        <fgColor rgb="FF002060"/>
        <bgColor rgb="FF073763"/>
      </patternFill>
    </fill>
    <fill>
      <patternFill patternType="solid">
        <fgColor theme="7" tint="0.59999389629810485"/>
        <bgColor rgb="FFAECAD0"/>
      </patternFill>
    </fill>
    <fill>
      <patternFill patternType="solid">
        <fgColor theme="9" tint="-0.249977111117893"/>
        <bgColor indexed="64"/>
      </patternFill>
    </fill>
    <fill>
      <patternFill patternType="solid">
        <fgColor rgb="FFC5E0B3"/>
        <bgColor rgb="FFC5E0B3"/>
      </patternFill>
    </fill>
    <fill>
      <patternFill patternType="solid">
        <fgColor rgb="FFC6E0B4"/>
        <bgColor rgb="FFC6E0B4"/>
      </patternFill>
    </fill>
    <fill>
      <patternFill patternType="solid">
        <fgColor theme="7" tint="0.59999389629810485"/>
        <bgColor rgb="FFC5E0B3"/>
      </patternFill>
    </fill>
    <fill>
      <patternFill patternType="solid">
        <fgColor rgb="FFA8D08D"/>
        <bgColor rgb="FFA8D08D"/>
      </patternFill>
    </fill>
    <fill>
      <patternFill patternType="solid">
        <fgColor theme="9" tint="0.59999389629810485"/>
        <bgColor rgb="FFC5E0B3"/>
      </patternFill>
    </fill>
    <fill>
      <patternFill patternType="solid">
        <fgColor rgb="FFB7CDD1"/>
        <bgColor rgb="FFC5E0B3"/>
      </patternFill>
    </fill>
    <fill>
      <patternFill patternType="solid">
        <fgColor rgb="FFB7CDD1"/>
        <bgColor rgb="FFA8D08D"/>
      </patternFill>
    </fill>
    <fill>
      <patternFill patternType="solid">
        <fgColor rgb="FFB7CDD1"/>
        <bgColor rgb="FFFFE598"/>
      </patternFill>
    </fill>
    <fill>
      <patternFill patternType="solid">
        <fgColor rgb="FFB7CDD1"/>
      </patternFill>
    </fill>
    <fill>
      <patternFill patternType="solid">
        <fgColor rgb="FFB7CDD1"/>
        <bgColor rgb="FFC6E0B4"/>
      </patternFill>
    </fill>
    <fill>
      <patternFill patternType="solid">
        <fgColor theme="9" tint="0.59999389629810485"/>
        <bgColor rgb="FFA8D08D"/>
      </patternFill>
    </fill>
    <fill>
      <patternFill patternType="solid">
        <fgColor rgb="FF76A5AF"/>
        <bgColor rgb="FFA8D08D"/>
      </patternFill>
    </fill>
    <fill>
      <patternFill patternType="solid">
        <fgColor theme="9" tint="0.59999389629810485"/>
        <bgColor rgb="FFC6E0B4"/>
      </patternFill>
    </fill>
    <fill>
      <patternFill patternType="solid">
        <fgColor theme="0"/>
        <bgColor rgb="FF666666"/>
      </patternFill>
    </fill>
    <fill>
      <patternFill patternType="solid">
        <fgColor theme="7" tint="0.59999389629810485"/>
        <bgColor rgb="FFA8D08D"/>
      </patternFill>
    </fill>
  </fills>
  <borders count="124">
    <border>
      <left/>
      <right/>
      <top/>
      <bottom/>
      <diagonal/>
    </border>
    <border>
      <left style="thin">
        <color rgb="FFFFFFFF"/>
      </left>
      <right style="thin">
        <color rgb="FFFFFFFF"/>
      </right>
      <top style="thin">
        <color rgb="FFFFFFFF"/>
      </top>
      <bottom style="thin">
        <color rgb="FFFFFFFF"/>
      </bottom>
      <diagonal/>
    </border>
    <border>
      <left style="thin">
        <color rgb="FFFFFFFF"/>
      </left>
      <right/>
      <top/>
      <bottom style="thin">
        <color rgb="FFFFFFFF"/>
      </bottom>
      <diagonal/>
    </border>
    <border>
      <left style="medium">
        <color rgb="FFFFFFFF"/>
      </left>
      <right style="medium">
        <color rgb="FFFFFFFF"/>
      </right>
      <top/>
      <bottom style="medium">
        <color rgb="FFFFFFFF"/>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thin">
        <color rgb="FF000000"/>
      </left>
      <right/>
      <top/>
      <bottom/>
      <diagonal/>
    </border>
    <border>
      <left/>
      <right/>
      <top/>
      <bottom style="thin">
        <color rgb="FFB7CDD1"/>
      </bottom>
      <diagonal/>
    </border>
    <border>
      <left style="thin">
        <color rgb="FF000000"/>
      </left>
      <right/>
      <top/>
      <bottom style="thin">
        <color rgb="FF000000"/>
      </bottom>
      <diagonal/>
    </border>
    <border>
      <left/>
      <right/>
      <top/>
      <bottom/>
      <diagonal/>
    </border>
    <border>
      <left/>
      <right/>
      <top/>
      <bottom style="medium">
        <color rgb="FF000000"/>
      </bottom>
      <diagonal/>
    </border>
    <border>
      <left/>
      <right style="thin">
        <color rgb="FF000000"/>
      </right>
      <top style="thin">
        <color rgb="FF000000"/>
      </top>
      <bottom style="thin">
        <color rgb="FF000000"/>
      </bottom>
      <diagonal/>
    </border>
    <border>
      <left/>
      <right/>
      <top style="medium">
        <color rgb="FF000000"/>
      </top>
      <bottom/>
      <diagonal/>
    </border>
    <border>
      <left/>
      <right/>
      <top style="thin">
        <color rgb="FF000000"/>
      </top>
      <bottom/>
      <diagonal/>
    </border>
    <border>
      <left/>
      <right/>
      <top/>
      <bottom style="thin">
        <color rgb="FF000000"/>
      </bottom>
      <diagonal/>
    </border>
    <border>
      <left/>
      <right/>
      <top/>
      <bottom style="thin">
        <color rgb="FFD9E2F3"/>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FFFFFF"/>
      </left>
      <right/>
      <top style="thin">
        <color rgb="FFFFFFFF"/>
      </top>
      <bottom style="thin">
        <color rgb="FFFFFFFF"/>
      </bottom>
      <diagonal/>
    </border>
    <border>
      <left/>
      <right style="thin">
        <color rgb="FFFFFFFF"/>
      </right>
      <top style="thin">
        <color rgb="FFFFFFFF"/>
      </top>
      <bottom style="thin">
        <color rgb="FFFFFFFF"/>
      </bottom>
      <diagonal/>
    </border>
    <border>
      <left/>
      <right style="thin">
        <color rgb="FFFFFFFF"/>
      </right>
      <top/>
      <bottom/>
      <diagonal/>
    </border>
    <border>
      <left style="thin">
        <color rgb="FFFFFFFF"/>
      </left>
      <right/>
      <top style="thin">
        <color rgb="FFFFFFFF"/>
      </top>
      <bottom/>
      <diagonal/>
    </border>
    <border>
      <left/>
      <right style="thin">
        <color rgb="FFFFFFFF"/>
      </right>
      <top style="thin">
        <color rgb="FFFFFFFF"/>
      </top>
      <bottom/>
      <diagonal/>
    </border>
    <border>
      <left style="thin">
        <color rgb="FFFFFFFF"/>
      </left>
      <right style="thin">
        <color rgb="FFFFFFFF"/>
      </right>
      <top style="thin">
        <color rgb="FFFFFFFF"/>
      </top>
      <bottom/>
      <diagonal/>
    </border>
    <border>
      <left style="thin">
        <color rgb="FFFFFFFF"/>
      </left>
      <right/>
      <top/>
      <bottom/>
      <diagonal/>
    </border>
    <border>
      <left style="thin">
        <color rgb="FFFFFFFF"/>
      </left>
      <right style="thin">
        <color rgb="FFFFFFFF"/>
      </right>
      <top/>
      <bottom style="thin">
        <color rgb="FFFFFFFF"/>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FFFFFF"/>
      </left>
      <right/>
      <top style="thin">
        <color rgb="FFFFFFFF"/>
      </top>
      <bottom style="thin">
        <color indexed="64"/>
      </bottom>
      <diagonal/>
    </border>
    <border>
      <left/>
      <right style="thin">
        <color rgb="FFFFFFFF"/>
      </right>
      <top style="thin">
        <color rgb="FFFFFFFF"/>
      </top>
      <bottom style="thin">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top style="thin">
        <color rgb="FFFFFFFF"/>
      </top>
      <bottom/>
      <diagonal/>
    </border>
    <border>
      <left/>
      <right style="thin">
        <color rgb="FFFFFFFF"/>
      </right>
      <top/>
      <bottom style="thin">
        <color rgb="FFFFFFFF"/>
      </bottom>
      <diagonal/>
    </border>
    <border>
      <left style="thin">
        <color theme="0"/>
      </left>
      <right/>
      <top/>
      <bottom/>
      <diagonal/>
    </border>
    <border>
      <left/>
      <right/>
      <top/>
      <bottom style="thin">
        <color rgb="FFFFFFFF"/>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rgb="FFFFFFFF"/>
      </top>
      <bottom style="thin">
        <color rgb="FFFFFFFF"/>
      </bottom>
      <diagonal/>
    </border>
    <border>
      <left style="thin">
        <color theme="0"/>
      </left>
      <right style="thin">
        <color theme="0"/>
      </right>
      <top style="thin">
        <color theme="0"/>
      </top>
      <bottom style="thin">
        <color theme="0"/>
      </bottom>
      <diagonal/>
    </border>
    <border>
      <left style="medium">
        <color indexed="64"/>
      </left>
      <right style="medium">
        <color indexed="64"/>
      </right>
      <top style="medium">
        <color indexed="64"/>
      </top>
      <bottom style="medium">
        <color indexed="64"/>
      </bottom>
      <diagonal/>
    </border>
    <border>
      <left style="thin">
        <color theme="0"/>
      </left>
      <right/>
      <top/>
      <bottom style="thin">
        <color theme="0"/>
      </bottom>
      <diagonal/>
    </border>
    <border>
      <left/>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top style="thin">
        <color theme="0"/>
      </top>
      <bottom/>
      <diagonal/>
    </border>
    <border>
      <left style="thin">
        <color theme="0"/>
      </left>
      <right style="thin">
        <color theme="0"/>
      </right>
      <top/>
      <bottom/>
      <diagonal/>
    </border>
    <border>
      <left style="thin">
        <color theme="0"/>
      </left>
      <right style="thin">
        <color theme="0"/>
      </right>
      <top style="medium">
        <color rgb="FF000000"/>
      </top>
      <bottom style="thin">
        <color theme="0"/>
      </bottom>
      <diagonal/>
    </border>
    <border>
      <left style="thin">
        <color theme="0"/>
      </left>
      <right style="thin">
        <color rgb="FFFFFFFF"/>
      </right>
      <top style="thin">
        <color rgb="FFFFFFFF"/>
      </top>
      <bottom/>
      <diagonal/>
    </border>
    <border>
      <left style="thin">
        <color theme="0"/>
      </left>
      <right/>
      <top style="thin">
        <color theme="0"/>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top style="thin">
        <color rgb="FF000000"/>
      </top>
      <bottom style="thin">
        <color indexed="64"/>
      </bottom>
      <diagonal/>
    </border>
    <border>
      <left style="thin">
        <color rgb="FFD9D9D9"/>
      </left>
      <right/>
      <top/>
      <bottom style="thin">
        <color rgb="FFFFFFFF"/>
      </bottom>
      <diagonal/>
    </border>
    <border>
      <left style="thin">
        <color indexed="64"/>
      </left>
      <right/>
      <top/>
      <bottom style="thin">
        <color rgb="FF000000"/>
      </bottom>
      <diagonal/>
    </border>
    <border>
      <left/>
      <right style="thin">
        <color indexed="64"/>
      </right>
      <top/>
      <bottom style="thin">
        <color rgb="FF000000"/>
      </bottom>
      <diagonal/>
    </border>
    <border>
      <left/>
      <right/>
      <top style="thin">
        <color indexed="64"/>
      </top>
      <bottom style="thin">
        <color rgb="FF000000"/>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rgb="FFFFFFFF"/>
      </left>
      <right style="medium">
        <color rgb="FFFFFFFF"/>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rgb="FFFFFFFF"/>
      </left>
      <right style="thin">
        <color rgb="FFFFFFFF"/>
      </right>
      <top style="thin">
        <color rgb="FFFFFFFF"/>
      </top>
      <bottom style="medium">
        <color indexed="64"/>
      </bottom>
      <diagonal/>
    </border>
    <border>
      <left/>
      <right style="thin">
        <color theme="0"/>
      </right>
      <top/>
      <bottom style="thin">
        <color theme="0"/>
      </bottom>
      <diagonal/>
    </border>
    <border>
      <left style="thin">
        <color theme="0"/>
      </left>
      <right style="thin">
        <color theme="0"/>
      </right>
      <top/>
      <bottom style="thin">
        <color theme="0"/>
      </bottom>
      <diagonal/>
    </border>
    <border>
      <left style="thin">
        <color indexed="64"/>
      </left>
      <right/>
      <top style="thin">
        <color rgb="FF000000"/>
      </top>
      <bottom/>
      <diagonal/>
    </border>
    <border>
      <left/>
      <right style="thin">
        <color indexed="64"/>
      </right>
      <top style="thin">
        <color rgb="FF000000"/>
      </top>
      <bottom/>
      <diagonal/>
    </border>
    <border>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theme="0"/>
      </left>
      <right style="thin">
        <color indexed="64"/>
      </right>
      <top/>
      <bottom/>
      <diagonal/>
    </border>
    <border>
      <left/>
      <right style="thin">
        <color rgb="FF000000"/>
      </right>
      <top/>
      <bottom style="thin">
        <color indexed="64"/>
      </bottom>
      <diagonal/>
    </border>
    <border>
      <left style="thin">
        <color rgb="FF000000"/>
      </left>
      <right/>
      <top/>
      <bottom style="thin">
        <color indexed="64"/>
      </bottom>
      <diagonal/>
    </border>
    <border>
      <left/>
      <right/>
      <top/>
      <bottom style="thin">
        <color theme="9"/>
      </bottom>
      <diagonal/>
    </border>
    <border>
      <left/>
      <right/>
      <top/>
      <bottom style="thin">
        <color rgb="FF76A5AF"/>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rgb="FFFFFFFF"/>
      </right>
      <top style="thin">
        <color rgb="FFFFFFFF"/>
      </top>
      <bottom style="thin">
        <color rgb="FFFFFFFF"/>
      </bottom>
      <diagonal/>
    </border>
    <border>
      <left style="thin">
        <color rgb="FFFFFFFF"/>
      </left>
      <right/>
      <top/>
      <bottom style="medium">
        <color indexed="64"/>
      </bottom>
      <diagonal/>
    </border>
    <border>
      <left style="thin">
        <color rgb="FF000000"/>
      </left>
      <right/>
      <top style="thin">
        <color rgb="FF000000"/>
      </top>
      <bottom style="thin">
        <color rgb="FF000000"/>
      </bottom>
      <diagonal/>
    </border>
    <border>
      <left style="thin">
        <color rgb="FFC5E0B3"/>
      </left>
      <right style="thin">
        <color rgb="FFC5E0B3"/>
      </right>
      <top style="thin">
        <color rgb="FFC5E0B3"/>
      </top>
      <bottom style="thin">
        <color indexed="64"/>
      </bottom>
      <diagonal/>
    </border>
    <border>
      <left style="thin">
        <color rgb="FFC5E0B3"/>
      </left>
      <right/>
      <top style="thin">
        <color rgb="FFC5E0B3"/>
      </top>
      <bottom style="thin">
        <color rgb="FFC5E0B3"/>
      </bottom>
      <diagonal/>
    </border>
    <border>
      <left style="thin">
        <color rgb="FFC5E0B3"/>
      </left>
      <right/>
      <top/>
      <bottom style="thin">
        <color rgb="FFC5E0B3"/>
      </bottom>
      <diagonal/>
    </border>
    <border>
      <left style="thin">
        <color rgb="FFC5E0B3"/>
      </left>
      <right style="thin">
        <color rgb="FFC5E0B3"/>
      </right>
      <top/>
      <bottom style="thin">
        <color rgb="FFC5E0B3"/>
      </bottom>
      <diagonal/>
    </border>
    <border>
      <left style="thin">
        <color rgb="FFC5E0B3"/>
      </left>
      <right style="thin">
        <color rgb="FFC5E0B3"/>
      </right>
      <top/>
      <bottom style="thin">
        <color indexed="64"/>
      </bottom>
      <diagonal/>
    </border>
    <border>
      <left/>
      <right style="thin">
        <color rgb="FFC5E0B3"/>
      </right>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style="thin">
        <color rgb="FF000000"/>
      </right>
      <top style="thin">
        <color rgb="FF000000"/>
      </top>
      <bottom/>
      <diagonal/>
    </border>
    <border>
      <left style="thin">
        <color rgb="FF000000"/>
      </left>
      <right style="thin">
        <color indexed="64"/>
      </right>
      <top style="thin">
        <color rgb="FF000000"/>
      </top>
      <bottom/>
      <diagonal/>
    </border>
    <border>
      <left style="thin">
        <color indexed="64"/>
      </left>
      <right style="thin">
        <color rgb="FF000000"/>
      </right>
      <top/>
      <bottom style="thin">
        <color rgb="FF000000"/>
      </bottom>
      <diagonal/>
    </border>
    <border>
      <left style="thin">
        <color rgb="FF000000"/>
      </left>
      <right style="thin">
        <color indexed="64"/>
      </right>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style="thin">
        <color rgb="FF000000"/>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top style="thin">
        <color rgb="FF000000"/>
      </top>
      <bottom style="thin">
        <color rgb="FF000000"/>
      </bottom>
      <diagonal/>
    </border>
    <border>
      <left style="thin">
        <color indexed="64"/>
      </left>
      <right style="thin">
        <color rgb="FF000000"/>
      </right>
      <top style="thin">
        <color indexed="64"/>
      </top>
      <bottom style="thin">
        <color rgb="FF000000"/>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rgb="FF000000"/>
      </left>
      <right style="thin">
        <color indexed="64"/>
      </right>
      <top/>
      <bottom style="thin">
        <color indexed="64"/>
      </bottom>
      <diagonal/>
    </border>
    <border>
      <left style="thin">
        <color rgb="FFC5E0B3"/>
      </left>
      <right/>
      <top style="thin">
        <color rgb="FFC5E0B3"/>
      </top>
      <bottom style="thin">
        <color indexed="64"/>
      </bottom>
      <diagonal/>
    </border>
    <border>
      <left style="thin">
        <color rgb="FFC5E0B3"/>
      </left>
      <right/>
      <top/>
      <bottom style="thin">
        <color indexed="64"/>
      </bottom>
      <diagonal/>
    </border>
    <border>
      <left style="thin">
        <color rgb="FFC5E0B3"/>
      </left>
      <right/>
      <top/>
      <bottom/>
      <diagonal/>
    </border>
  </borders>
  <cellStyleXfs count="12">
    <xf numFmtId="0" fontId="0" fillId="0" borderId="0"/>
    <xf numFmtId="0" fontId="2" fillId="12" borderId="0" applyNumberFormat="0" applyBorder="0" applyAlignment="0" applyProtection="0"/>
    <xf numFmtId="44" fontId="27" fillId="0" borderId="0" applyFont="0" applyFill="0" applyBorder="0" applyAlignment="0" applyProtection="0"/>
    <xf numFmtId="0" fontId="28" fillId="0" borderId="0" applyNumberFormat="0" applyFill="0" applyBorder="0" applyAlignment="0" applyProtection="0"/>
    <xf numFmtId="43" fontId="29" fillId="0" borderId="0" applyFont="0" applyFill="0" applyBorder="0" applyAlignment="0" applyProtection="0"/>
    <xf numFmtId="9" fontId="32" fillId="0" borderId="0" applyFont="0" applyFill="0" applyBorder="0" applyAlignment="0" applyProtection="0"/>
    <xf numFmtId="0" fontId="27" fillId="0" borderId="11"/>
    <xf numFmtId="0" fontId="1" fillId="12" borderId="11" applyNumberFormat="0" applyBorder="0" applyAlignment="0" applyProtection="0"/>
    <xf numFmtId="44" fontId="27" fillId="0" borderId="11" applyFont="0" applyFill="0" applyBorder="0" applyAlignment="0" applyProtection="0"/>
    <xf numFmtId="0" fontId="28" fillId="0" borderId="11" applyNumberFormat="0" applyFill="0" applyBorder="0" applyAlignment="0" applyProtection="0"/>
    <xf numFmtId="43" fontId="27" fillId="0" borderId="11" applyFont="0" applyFill="0" applyBorder="0" applyAlignment="0" applyProtection="0"/>
    <xf numFmtId="9" fontId="27" fillId="0" borderId="11" applyFont="0" applyFill="0" applyBorder="0" applyAlignment="0" applyProtection="0"/>
  </cellStyleXfs>
  <cellXfs count="1817">
    <xf numFmtId="0" fontId="0" fillId="0" borderId="0" xfId="0"/>
    <xf numFmtId="0" fontId="8" fillId="3" borderId="11" xfId="0" applyFont="1" applyFill="1" applyBorder="1"/>
    <xf numFmtId="0" fontId="4" fillId="0" borderId="21" xfId="0" applyFont="1" applyBorder="1"/>
    <xf numFmtId="0" fontId="15" fillId="11" borderId="11" xfId="0" applyFont="1" applyFill="1" applyBorder="1" applyAlignment="1">
      <alignment horizontal="center"/>
    </xf>
    <xf numFmtId="0" fontId="31" fillId="13" borderId="11" xfId="0" applyFont="1" applyFill="1" applyBorder="1" applyAlignment="1">
      <alignment vertical="top" wrapText="1"/>
    </xf>
    <xf numFmtId="0" fontId="8" fillId="7" borderId="4" xfId="0" applyFont="1" applyFill="1" applyBorder="1" applyAlignment="1" applyProtection="1">
      <alignment horizontal="center" vertical="center"/>
      <protection locked="0"/>
    </xf>
    <xf numFmtId="0" fontId="0" fillId="0" borderId="0" xfId="0" applyAlignment="1">
      <alignment vertical="center"/>
    </xf>
    <xf numFmtId="0" fontId="0" fillId="3" borderId="11" xfId="0" applyFill="1" applyBorder="1" applyAlignment="1">
      <alignment vertical="center"/>
    </xf>
    <xf numFmtId="0" fontId="8" fillId="3" borderId="11" xfId="0" applyFont="1" applyFill="1" applyBorder="1" applyAlignment="1">
      <alignment vertical="center"/>
    </xf>
    <xf numFmtId="3" fontId="8" fillId="7" borderId="4" xfId="0" applyNumberFormat="1" applyFont="1" applyFill="1" applyBorder="1" applyAlignment="1" applyProtection="1">
      <alignment horizontal="center" vertical="center"/>
      <protection locked="0"/>
    </xf>
    <xf numFmtId="165" fontId="8" fillId="7" borderId="28" xfId="0" applyNumberFormat="1" applyFont="1" applyFill="1" applyBorder="1" applyProtection="1">
      <protection locked="0"/>
    </xf>
    <xf numFmtId="0" fontId="8" fillId="41" borderId="11" xfId="0" applyFont="1" applyFill="1" applyBorder="1" applyAlignment="1">
      <alignment vertical="center"/>
    </xf>
    <xf numFmtId="0" fontId="8" fillId="41" borderId="11" xfId="0" applyFont="1" applyFill="1" applyBorder="1" applyAlignment="1">
      <alignment horizontal="center" vertical="center"/>
    </xf>
    <xf numFmtId="0" fontId="9" fillId="26" borderId="28" xfId="0" applyFont="1" applyFill="1" applyBorder="1" applyAlignment="1" applyProtection="1">
      <alignment horizontal="left" vertical="center"/>
      <protection locked="0"/>
    </xf>
    <xf numFmtId="4" fontId="8" fillId="7" borderId="4" xfId="0" applyNumberFormat="1" applyFont="1" applyFill="1" applyBorder="1" applyAlignment="1" applyProtection="1">
      <alignment horizontal="center" vertical="center"/>
      <protection locked="0"/>
    </xf>
    <xf numFmtId="0" fontId="8" fillId="7" borderId="6" xfId="0" applyFont="1" applyFill="1" applyBorder="1" applyAlignment="1" applyProtection="1">
      <alignment horizontal="center" vertical="center"/>
      <protection locked="0"/>
    </xf>
    <xf numFmtId="0" fontId="8" fillId="7" borderId="64" xfId="0" applyFont="1" applyFill="1" applyBorder="1" applyAlignment="1" applyProtection="1">
      <alignment horizontal="center" vertical="center"/>
      <protection locked="0"/>
    </xf>
    <xf numFmtId="0" fontId="0" fillId="3" borderId="11" xfId="0" applyFill="1" applyBorder="1" applyAlignment="1">
      <alignment horizontal="center" vertical="center"/>
    </xf>
    <xf numFmtId="0" fontId="11" fillId="11" borderId="11" xfId="0" applyFont="1" applyFill="1" applyBorder="1"/>
    <xf numFmtId="0" fontId="4" fillId="11" borderId="11" xfId="0" applyFont="1" applyFill="1" applyBorder="1"/>
    <xf numFmtId="0" fontId="20" fillId="11" borderId="11" xfId="0" applyFont="1" applyFill="1" applyBorder="1" applyAlignment="1">
      <alignment horizontal="left"/>
    </xf>
    <xf numFmtId="0" fontId="4" fillId="11" borderId="1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0" borderId="62" xfId="0" applyFont="1" applyBorder="1" applyAlignment="1">
      <alignment horizontal="center"/>
    </xf>
    <xf numFmtId="0" fontId="8" fillId="14" borderId="0" xfId="0" applyFont="1" applyFill="1"/>
    <xf numFmtId="174" fontId="8" fillId="14" borderId="0" xfId="0" applyNumberFormat="1" applyFont="1" applyFill="1" applyAlignment="1">
      <alignment horizontal="left"/>
    </xf>
    <xf numFmtId="174" fontId="8" fillId="14" borderId="0" xfId="0" applyNumberFormat="1" applyFont="1" applyFill="1" applyAlignment="1">
      <alignment horizontal="center"/>
    </xf>
    <xf numFmtId="0" fontId="8" fillId="29" borderId="0" xfId="0" applyFont="1" applyFill="1"/>
    <xf numFmtId="175" fontId="13" fillId="14" borderId="0" xfId="0" applyNumberFormat="1" applyFont="1" applyFill="1" applyAlignment="1">
      <alignment vertical="center" wrapText="1"/>
    </xf>
    <xf numFmtId="174" fontId="13" fillId="14" borderId="0" xfId="0" applyNumberFormat="1" applyFont="1" applyFill="1" applyAlignment="1">
      <alignment horizontal="left" vertical="center" wrapText="1"/>
    </xf>
    <xf numFmtId="174" fontId="13" fillId="14" borderId="0" xfId="0" applyNumberFormat="1" applyFont="1" applyFill="1" applyAlignment="1">
      <alignment horizontal="center" vertical="center" wrapText="1"/>
    </xf>
    <xf numFmtId="174" fontId="14" fillId="24" borderId="11" xfId="0" applyNumberFormat="1" applyFont="1" applyFill="1" applyBorder="1" applyAlignment="1">
      <alignment horizontal="center" vertical="center" wrapText="1"/>
    </xf>
    <xf numFmtId="0" fontId="8" fillId="29" borderId="0" xfId="0" applyFont="1" applyFill="1" applyAlignment="1">
      <alignment vertical="center" wrapText="1"/>
    </xf>
    <xf numFmtId="1" fontId="49" fillId="57" borderId="0" xfId="0" applyNumberFormat="1" applyFont="1" applyFill="1" applyAlignment="1">
      <alignment vertical="center" wrapText="1"/>
    </xf>
    <xf numFmtId="1" fontId="49" fillId="57" borderId="0" xfId="0" applyNumberFormat="1" applyFont="1" applyFill="1" applyAlignment="1">
      <alignment horizontal="left" vertical="center" wrapText="1"/>
    </xf>
    <xf numFmtId="1" fontId="49" fillId="57" borderId="0" xfId="0" applyNumberFormat="1" applyFont="1" applyFill="1" applyAlignment="1">
      <alignment horizontal="center" vertical="center" wrapText="1"/>
    </xf>
    <xf numFmtId="1" fontId="49" fillId="56" borderId="11" xfId="0" applyNumberFormat="1" applyFont="1" applyFill="1" applyBorder="1" applyAlignment="1">
      <alignment horizontal="center" vertical="center" wrapText="1"/>
    </xf>
    <xf numFmtId="1" fontId="14" fillId="24" borderId="11" xfId="0" applyNumberFormat="1" applyFont="1" applyFill="1" applyBorder="1" applyAlignment="1">
      <alignment horizontal="center" vertical="center" wrapText="1"/>
    </xf>
    <xf numFmtId="1" fontId="8" fillId="29" borderId="0" xfId="0" applyNumberFormat="1" applyFont="1" applyFill="1" applyAlignment="1">
      <alignment vertical="center" wrapText="1"/>
    </xf>
    <xf numFmtId="2" fontId="14" fillId="14" borderId="68" xfId="0" applyNumberFormat="1" applyFont="1" applyFill="1" applyBorder="1" applyAlignment="1">
      <alignment vertical="center" wrapText="1"/>
    </xf>
    <xf numFmtId="2" fontId="14" fillId="14" borderId="68" xfId="0" applyNumberFormat="1" applyFont="1" applyFill="1" applyBorder="1" applyAlignment="1">
      <alignment horizontal="left" vertical="center" wrapText="1"/>
    </xf>
    <xf numFmtId="2" fontId="14" fillId="24" borderId="68" xfId="0" applyNumberFormat="1" applyFont="1" applyFill="1" applyBorder="1" applyAlignment="1">
      <alignment horizontal="center" vertical="center" wrapText="1"/>
    </xf>
    <xf numFmtId="2" fontId="9" fillId="29" borderId="0" xfId="0" applyNumberFormat="1" applyFont="1" applyFill="1" applyAlignment="1">
      <alignment vertical="center" wrapText="1"/>
    </xf>
    <xf numFmtId="0" fontId="13" fillId="14" borderId="68" xfId="0" applyFont="1" applyFill="1" applyBorder="1" applyAlignment="1">
      <alignment vertical="center"/>
    </xf>
    <xf numFmtId="174" fontId="8" fillId="14" borderId="68" xfId="0" applyNumberFormat="1" applyFont="1" applyFill="1" applyBorder="1" applyAlignment="1">
      <alignment horizontal="left" vertical="center"/>
    </xf>
    <xf numFmtId="174" fontId="14" fillId="24" borderId="68" xfId="0" applyNumberFormat="1" applyFont="1" applyFill="1" applyBorder="1" applyAlignment="1">
      <alignment horizontal="center" vertical="center"/>
    </xf>
    <xf numFmtId="0" fontId="8" fillId="29" borderId="0" xfId="0" applyFont="1" applyFill="1" applyAlignment="1">
      <alignment vertical="center"/>
    </xf>
    <xf numFmtId="174" fontId="9" fillId="24" borderId="11" xfId="0" applyNumberFormat="1" applyFont="1" applyFill="1" applyBorder="1" applyAlignment="1">
      <alignment horizontal="center"/>
    </xf>
    <xf numFmtId="174" fontId="8" fillId="29" borderId="0" xfId="0" applyNumberFormat="1" applyFont="1" applyFill="1" applyAlignment="1">
      <alignment horizontal="left"/>
    </xf>
    <xf numFmtId="174" fontId="8" fillId="29" borderId="0" xfId="0" applyNumberFormat="1" applyFont="1" applyFill="1" applyAlignment="1">
      <alignment horizontal="center"/>
    </xf>
    <xf numFmtId="0" fontId="15" fillId="2" borderId="12" xfId="0" applyFont="1" applyFill="1" applyBorder="1" applyAlignment="1">
      <alignment horizontal="center" vertical="center"/>
    </xf>
    <xf numFmtId="0" fontId="15" fillId="2" borderId="12" xfId="0" applyFont="1" applyFill="1" applyBorder="1" applyAlignment="1">
      <alignment vertical="center"/>
    </xf>
    <xf numFmtId="169" fontId="15" fillId="2" borderId="12" xfId="0" applyNumberFormat="1" applyFont="1" applyFill="1" applyBorder="1" applyAlignment="1">
      <alignment horizontal="center" vertical="center"/>
    </xf>
    <xf numFmtId="1" fontId="15" fillId="2" borderId="12" xfId="0" applyNumberFormat="1" applyFont="1" applyFill="1" applyBorder="1" applyAlignment="1">
      <alignment horizontal="center" vertical="center"/>
    </xf>
    <xf numFmtId="173" fontId="15" fillId="2" borderId="12" xfId="0" applyNumberFormat="1" applyFont="1" applyFill="1" applyBorder="1" applyAlignment="1">
      <alignment horizontal="center" vertical="center"/>
    </xf>
    <xf numFmtId="2" fontId="15" fillId="2" borderId="12" xfId="0" applyNumberFormat="1" applyFont="1" applyFill="1" applyBorder="1" applyAlignment="1">
      <alignment horizontal="center" vertical="center"/>
    </xf>
    <xf numFmtId="167" fontId="15" fillId="2" borderId="12" xfId="0" applyNumberFormat="1" applyFont="1" applyFill="1" applyBorder="1" applyAlignment="1">
      <alignment horizontal="center" vertical="center"/>
    </xf>
    <xf numFmtId="3" fontId="15" fillId="2" borderId="12" xfId="0" applyNumberFormat="1" applyFont="1" applyFill="1" applyBorder="1" applyAlignment="1">
      <alignment vertical="center"/>
    </xf>
    <xf numFmtId="166" fontId="15" fillId="2" borderId="12" xfId="0" applyNumberFormat="1" applyFont="1" applyFill="1" applyBorder="1" applyAlignment="1">
      <alignment horizontal="center" vertical="center"/>
    </xf>
    <xf numFmtId="166" fontId="14" fillId="2" borderId="12" xfId="0" applyNumberFormat="1" applyFont="1" applyFill="1" applyBorder="1" applyAlignment="1">
      <alignment horizontal="center" vertical="center"/>
    </xf>
    <xf numFmtId="10" fontId="14" fillId="2" borderId="12" xfId="0" applyNumberFormat="1" applyFont="1" applyFill="1" applyBorder="1" applyAlignment="1">
      <alignment horizontal="center" vertical="center"/>
    </xf>
    <xf numFmtId="0" fontId="8" fillId="3" borderId="21" xfId="0" applyFont="1" applyFill="1" applyBorder="1" applyAlignment="1">
      <alignment vertical="center"/>
    </xf>
    <xf numFmtId="0" fontId="8" fillId="0" borderId="0" xfId="0" applyFont="1" applyAlignment="1">
      <alignment vertical="center"/>
    </xf>
    <xf numFmtId="0" fontId="8" fillId="3" borderId="11" xfId="0" applyFont="1" applyFill="1" applyBorder="1" applyAlignment="1">
      <alignment horizontal="center" vertical="center"/>
    </xf>
    <xf numFmtId="169" fontId="8" fillId="3" borderId="11" xfId="0" applyNumberFormat="1" applyFont="1" applyFill="1" applyBorder="1" applyAlignment="1">
      <alignment horizontal="center" vertical="center"/>
    </xf>
    <xf numFmtId="1" fontId="8" fillId="3" borderId="11" xfId="0" applyNumberFormat="1" applyFont="1" applyFill="1" applyBorder="1" applyAlignment="1">
      <alignment horizontal="center" vertical="center"/>
    </xf>
    <xf numFmtId="173" fontId="8" fillId="3" borderId="11" xfId="0" applyNumberFormat="1" applyFont="1" applyFill="1" applyBorder="1" applyAlignment="1">
      <alignment horizontal="center" vertical="center"/>
    </xf>
    <xf numFmtId="2" fontId="8" fillId="3" borderId="11" xfId="0" applyNumberFormat="1" applyFont="1" applyFill="1" applyBorder="1" applyAlignment="1">
      <alignment horizontal="center" vertical="center"/>
    </xf>
    <xf numFmtId="167" fontId="8" fillId="3" borderId="11" xfId="0" applyNumberFormat="1" applyFont="1" applyFill="1" applyBorder="1" applyAlignment="1">
      <alignment horizontal="center" vertical="center"/>
    </xf>
    <xf numFmtId="0" fontId="8" fillId="3" borderId="11" xfId="0" applyFont="1" applyFill="1" applyBorder="1" applyAlignment="1">
      <alignment horizontal="left" vertical="center"/>
    </xf>
    <xf numFmtId="3" fontId="8" fillId="3" borderId="11" xfId="0" applyNumberFormat="1" applyFont="1" applyFill="1" applyBorder="1" applyAlignment="1">
      <alignment vertical="center"/>
    </xf>
    <xf numFmtId="166" fontId="8" fillId="3" borderId="11" xfId="0" applyNumberFormat="1" applyFont="1" applyFill="1" applyBorder="1" applyAlignment="1">
      <alignment horizontal="center" vertical="center"/>
    </xf>
    <xf numFmtId="166" fontId="9" fillId="3" borderId="11" xfId="0" applyNumberFormat="1" applyFont="1" applyFill="1" applyBorder="1" applyAlignment="1">
      <alignment horizontal="center" vertical="center"/>
    </xf>
    <xf numFmtId="10" fontId="9" fillId="3" borderId="11" xfId="0" applyNumberFormat="1" applyFont="1" applyFill="1" applyBorder="1" applyAlignment="1">
      <alignment horizontal="center" vertical="center"/>
    </xf>
    <xf numFmtId="0" fontId="8" fillId="3" borderId="12" xfId="0" applyFont="1" applyFill="1" applyBorder="1" applyAlignment="1">
      <alignment vertical="center"/>
    </xf>
    <xf numFmtId="0" fontId="13" fillId="3" borderId="12" xfId="0" applyFont="1" applyFill="1" applyBorder="1" applyAlignment="1">
      <alignment vertical="center"/>
    </xf>
    <xf numFmtId="0" fontId="13" fillId="3" borderId="12" xfId="0" applyFont="1" applyFill="1" applyBorder="1" applyAlignment="1">
      <alignment horizontal="center" vertical="center"/>
    </xf>
    <xf numFmtId="169" fontId="13" fillId="3" borderId="12" xfId="0" applyNumberFormat="1" applyFont="1" applyFill="1" applyBorder="1" applyAlignment="1">
      <alignment horizontal="center" vertical="center"/>
    </xf>
    <xf numFmtId="1" fontId="13" fillId="3" borderId="12" xfId="0" applyNumberFormat="1" applyFont="1" applyFill="1" applyBorder="1" applyAlignment="1">
      <alignment horizontal="center" vertical="center"/>
    </xf>
    <xf numFmtId="173" fontId="13" fillId="3" borderId="12" xfId="0" applyNumberFormat="1" applyFont="1" applyFill="1" applyBorder="1" applyAlignment="1">
      <alignment horizontal="center" vertical="center"/>
    </xf>
    <xf numFmtId="2" fontId="13" fillId="3" borderId="12" xfId="0" applyNumberFormat="1" applyFont="1" applyFill="1" applyBorder="1" applyAlignment="1">
      <alignment horizontal="center" vertical="center"/>
    </xf>
    <xf numFmtId="167" fontId="13" fillId="3" borderId="12" xfId="0" applyNumberFormat="1" applyFont="1" applyFill="1" applyBorder="1" applyAlignment="1">
      <alignment horizontal="center" vertical="center"/>
    </xf>
    <xf numFmtId="0" fontId="13" fillId="3" borderId="12" xfId="0" applyFont="1" applyFill="1" applyBorder="1" applyAlignment="1">
      <alignment horizontal="left" vertical="center"/>
    </xf>
    <xf numFmtId="3" fontId="13" fillId="3" borderId="12" xfId="0" applyNumberFormat="1" applyFont="1" applyFill="1" applyBorder="1" applyAlignment="1">
      <alignment vertical="center"/>
    </xf>
    <xf numFmtId="2" fontId="8" fillId="3" borderId="12" xfId="0" applyNumberFormat="1" applyFont="1" applyFill="1" applyBorder="1" applyAlignment="1">
      <alignment horizontal="center" vertical="center"/>
    </xf>
    <xf numFmtId="166" fontId="13" fillId="3" borderId="12" xfId="0" applyNumberFormat="1" applyFont="1" applyFill="1" applyBorder="1" applyAlignment="1">
      <alignment horizontal="center" vertical="center"/>
    </xf>
    <xf numFmtId="166" fontId="9" fillId="3" borderId="12" xfId="0" applyNumberFormat="1" applyFont="1" applyFill="1" applyBorder="1" applyAlignment="1">
      <alignment horizontal="center" vertical="center"/>
    </xf>
    <xf numFmtId="10" fontId="9" fillId="3" borderId="12" xfId="0" applyNumberFormat="1" applyFont="1" applyFill="1" applyBorder="1" applyAlignment="1">
      <alignment horizontal="center" vertical="center"/>
    </xf>
    <xf numFmtId="167" fontId="8" fillId="3" borderId="12" xfId="0" applyNumberFormat="1" applyFont="1" applyFill="1" applyBorder="1" applyAlignment="1">
      <alignment horizontal="center" vertical="center"/>
    </xf>
    <xf numFmtId="173" fontId="8" fillId="3" borderId="12" xfId="0" applyNumberFormat="1" applyFont="1" applyFill="1" applyBorder="1" applyAlignment="1">
      <alignment horizontal="center" vertical="center"/>
    </xf>
    <xf numFmtId="0" fontId="9" fillId="0" borderId="76" xfId="0" applyFont="1" applyBorder="1" applyAlignment="1">
      <alignment vertical="center"/>
    </xf>
    <xf numFmtId="0" fontId="8" fillId="3" borderId="3" xfId="0" applyFont="1" applyFill="1" applyBorder="1" applyAlignment="1">
      <alignment vertical="center"/>
    </xf>
    <xf numFmtId="0" fontId="8" fillId="3" borderId="25" xfId="0" applyFont="1" applyFill="1" applyBorder="1" applyAlignment="1">
      <alignment vertical="center"/>
    </xf>
    <xf numFmtId="0" fontId="8" fillId="3" borderId="25" xfId="0" applyFont="1" applyFill="1" applyBorder="1" applyAlignment="1">
      <alignment horizontal="center" vertical="center"/>
    </xf>
    <xf numFmtId="169" fontId="8" fillId="3" borderId="25" xfId="0" applyNumberFormat="1" applyFont="1" applyFill="1" applyBorder="1" applyAlignment="1">
      <alignment horizontal="center" vertical="center"/>
    </xf>
    <xf numFmtId="1" fontId="8" fillId="3" borderId="25" xfId="0" applyNumberFormat="1" applyFont="1" applyFill="1" applyBorder="1" applyAlignment="1">
      <alignment horizontal="center" vertical="center"/>
    </xf>
    <xf numFmtId="173" fontId="8" fillId="3" borderId="25" xfId="0" applyNumberFormat="1" applyFont="1" applyFill="1" applyBorder="1" applyAlignment="1">
      <alignment horizontal="center" vertical="center"/>
    </xf>
    <xf numFmtId="2" fontId="8" fillId="3" borderId="25" xfId="0" applyNumberFormat="1" applyFont="1" applyFill="1" applyBorder="1" applyAlignment="1">
      <alignment horizontal="center" vertical="center"/>
    </xf>
    <xf numFmtId="167" fontId="8" fillId="3" borderId="25" xfId="0" applyNumberFormat="1" applyFont="1" applyFill="1" applyBorder="1" applyAlignment="1">
      <alignment horizontal="center" vertical="center"/>
    </xf>
    <xf numFmtId="0" fontId="8" fillId="3" borderId="25" xfId="0" applyFont="1" applyFill="1" applyBorder="1" applyAlignment="1">
      <alignment horizontal="left" vertical="center"/>
    </xf>
    <xf numFmtId="3" fontId="8" fillId="3" borderId="25" xfId="0" applyNumberFormat="1" applyFont="1" applyFill="1" applyBorder="1" applyAlignment="1">
      <alignment vertical="center"/>
    </xf>
    <xf numFmtId="166" fontId="8" fillId="3" borderId="25" xfId="0" applyNumberFormat="1" applyFont="1" applyFill="1" applyBorder="1" applyAlignment="1">
      <alignment horizontal="center" vertical="center"/>
    </xf>
    <xf numFmtId="166" fontId="9" fillId="3" borderId="25" xfId="0" applyNumberFormat="1" applyFont="1" applyFill="1" applyBorder="1" applyAlignment="1">
      <alignment horizontal="center" vertical="center"/>
    </xf>
    <xf numFmtId="10" fontId="9" fillId="3" borderId="25" xfId="0" applyNumberFormat="1" applyFont="1" applyFill="1" applyBorder="1" applyAlignment="1">
      <alignment horizontal="center" vertical="center"/>
    </xf>
    <xf numFmtId="0" fontId="8" fillId="3" borderId="44" xfId="0" applyFont="1" applyFill="1" applyBorder="1" applyAlignment="1">
      <alignment vertical="center"/>
    </xf>
    <xf numFmtId="0" fontId="8" fillId="3" borderId="24" xfId="0" applyFont="1" applyFill="1" applyBorder="1" applyAlignment="1">
      <alignment horizontal="left" vertical="center"/>
    </xf>
    <xf numFmtId="0" fontId="8" fillId="3" borderId="24" xfId="0" applyFont="1" applyFill="1" applyBorder="1" applyAlignment="1">
      <alignment vertical="center"/>
    </xf>
    <xf numFmtId="2" fontId="8" fillId="3" borderId="24" xfId="0" applyNumberFormat="1" applyFont="1" applyFill="1" applyBorder="1" applyAlignment="1">
      <alignment vertical="center"/>
    </xf>
    <xf numFmtId="0" fontId="8" fillId="3" borderId="52" xfId="0" applyFont="1" applyFill="1" applyBorder="1" applyAlignment="1">
      <alignment vertical="center"/>
    </xf>
    <xf numFmtId="0" fontId="14" fillId="15" borderId="32" xfId="0" applyFont="1" applyFill="1" applyBorder="1" applyAlignment="1">
      <alignment vertical="center"/>
    </xf>
    <xf numFmtId="0" fontId="9" fillId="14" borderId="33" xfId="0" applyFont="1" applyFill="1" applyBorder="1" applyAlignment="1">
      <alignment vertical="center"/>
    </xf>
    <xf numFmtId="0" fontId="14" fillId="15" borderId="33" xfId="0" applyFont="1" applyFill="1" applyBorder="1" applyAlignment="1">
      <alignment vertical="center"/>
    </xf>
    <xf numFmtId="169" fontId="9" fillId="14" borderId="33" xfId="0" applyNumberFormat="1" applyFont="1" applyFill="1" applyBorder="1" applyAlignment="1">
      <alignment horizontal="center" vertical="center"/>
    </xf>
    <xf numFmtId="1" fontId="9" fillId="14" borderId="33" xfId="0" applyNumberFormat="1" applyFont="1" applyFill="1" applyBorder="1" applyAlignment="1">
      <alignment horizontal="center" vertical="center"/>
    </xf>
    <xf numFmtId="173" fontId="9" fillId="14" borderId="33" xfId="0" applyNumberFormat="1" applyFont="1" applyFill="1" applyBorder="1" applyAlignment="1">
      <alignment horizontal="center" vertical="center"/>
    </xf>
    <xf numFmtId="2" fontId="9" fillId="14" borderId="33" xfId="0" applyNumberFormat="1" applyFont="1" applyFill="1" applyBorder="1" applyAlignment="1">
      <alignment horizontal="center" vertical="center"/>
    </xf>
    <xf numFmtId="167" fontId="9" fillId="14" borderId="33" xfId="0" applyNumberFormat="1" applyFont="1" applyFill="1" applyBorder="1" applyAlignment="1">
      <alignment horizontal="center" vertical="center"/>
    </xf>
    <xf numFmtId="169" fontId="9" fillId="14" borderId="34" xfId="0" applyNumberFormat="1" applyFont="1" applyFill="1" applyBorder="1" applyAlignment="1">
      <alignment horizontal="center" vertical="center"/>
    </xf>
    <xf numFmtId="3" fontId="14" fillId="15" borderId="33" xfId="0" applyNumberFormat="1" applyFont="1" applyFill="1" applyBorder="1" applyAlignment="1">
      <alignment vertical="center"/>
    </xf>
    <xf numFmtId="2" fontId="9" fillId="14" borderId="33" xfId="0" applyNumberFormat="1" applyFont="1" applyFill="1" applyBorder="1" applyAlignment="1">
      <alignment vertical="center"/>
    </xf>
    <xf numFmtId="166" fontId="9" fillId="14" borderId="33" xfId="0" applyNumberFormat="1" applyFont="1" applyFill="1" applyBorder="1" applyAlignment="1">
      <alignment vertical="center"/>
    </xf>
    <xf numFmtId="10" fontId="9" fillId="14" borderId="33" xfId="0" applyNumberFormat="1" applyFont="1" applyFill="1" applyBorder="1" applyAlignment="1">
      <alignment vertical="center"/>
    </xf>
    <xf numFmtId="167" fontId="9" fillId="14" borderId="33" xfId="0" applyNumberFormat="1" applyFont="1" applyFill="1" applyBorder="1" applyAlignment="1">
      <alignment vertical="center"/>
    </xf>
    <xf numFmtId="0" fontId="9" fillId="14" borderId="34" xfId="0" applyFont="1" applyFill="1" applyBorder="1" applyAlignment="1">
      <alignment vertical="center"/>
    </xf>
    <xf numFmtId="0" fontId="13" fillId="14" borderId="32" xfId="0" applyFont="1" applyFill="1" applyBorder="1" applyAlignment="1">
      <alignment vertical="center"/>
    </xf>
    <xf numFmtId="0" fontId="13" fillId="14" borderId="34" xfId="0" applyFont="1" applyFill="1" applyBorder="1" applyAlignment="1">
      <alignment horizontal="center" vertical="center"/>
    </xf>
    <xf numFmtId="0" fontId="13" fillId="14" borderId="33" xfId="0" applyFont="1" applyFill="1" applyBorder="1" applyAlignment="1">
      <alignment vertical="center"/>
    </xf>
    <xf numFmtId="0" fontId="13" fillId="14" borderId="33" xfId="0" applyFont="1" applyFill="1" applyBorder="1" applyAlignment="1">
      <alignment horizontal="left" vertical="center"/>
    </xf>
    <xf numFmtId="0" fontId="13" fillId="14" borderId="33" xfId="0" applyFont="1" applyFill="1" applyBorder="1" applyAlignment="1">
      <alignment horizontal="center" vertical="center"/>
    </xf>
    <xf numFmtId="2" fontId="13" fillId="14" borderId="34" xfId="0" applyNumberFormat="1" applyFont="1" applyFill="1" applyBorder="1" applyAlignment="1">
      <alignment horizontal="center" vertical="center"/>
    </xf>
    <xf numFmtId="0" fontId="13" fillId="24" borderId="32" xfId="0" applyFont="1" applyFill="1" applyBorder="1" applyAlignment="1">
      <alignment vertical="center"/>
    </xf>
    <xf numFmtId="0" fontId="8" fillId="24" borderId="33" xfId="0" applyFont="1" applyFill="1" applyBorder="1" applyAlignment="1">
      <alignment horizontal="center" vertical="center"/>
    </xf>
    <xf numFmtId="0" fontId="8" fillId="24" borderId="34" xfId="0" applyFont="1" applyFill="1" applyBorder="1" applyAlignment="1">
      <alignment horizontal="center" vertical="center"/>
    </xf>
    <xf numFmtId="0" fontId="14" fillId="15" borderId="35" xfId="0" applyFont="1" applyFill="1" applyBorder="1" applyAlignment="1">
      <alignment vertical="center"/>
    </xf>
    <xf numFmtId="0" fontId="9" fillId="14" borderId="11" xfId="0" applyFont="1" applyFill="1" applyBorder="1" applyAlignment="1">
      <alignment vertical="center"/>
    </xf>
    <xf numFmtId="0" fontId="14" fillId="15" borderId="11" xfId="0" applyFont="1" applyFill="1" applyBorder="1" applyAlignment="1">
      <alignment vertical="center"/>
    </xf>
    <xf numFmtId="169" fontId="9" fillId="14" borderId="11" xfId="0" applyNumberFormat="1" applyFont="1" applyFill="1" applyBorder="1" applyAlignment="1">
      <alignment horizontal="center" vertical="center"/>
    </xf>
    <xf numFmtId="1" fontId="9" fillId="14" borderId="11" xfId="0" applyNumberFormat="1" applyFont="1" applyFill="1" applyBorder="1" applyAlignment="1">
      <alignment horizontal="center" vertical="center"/>
    </xf>
    <xf numFmtId="173" fontId="9" fillId="14" borderId="11" xfId="0" applyNumberFormat="1" applyFont="1" applyFill="1" applyBorder="1" applyAlignment="1">
      <alignment horizontal="center" vertical="center"/>
    </xf>
    <xf numFmtId="2" fontId="9" fillId="14" borderId="11" xfId="0" applyNumberFormat="1" applyFont="1" applyFill="1" applyBorder="1" applyAlignment="1">
      <alignment horizontal="center" vertical="center"/>
    </xf>
    <xf numFmtId="167" fontId="9" fillId="14" borderId="11" xfId="0" applyNumberFormat="1" applyFont="1" applyFill="1" applyBorder="1" applyAlignment="1">
      <alignment horizontal="center" vertical="center"/>
    </xf>
    <xf numFmtId="169" fontId="9" fillId="14" borderId="36" xfId="0" applyNumberFormat="1" applyFont="1" applyFill="1" applyBorder="1" applyAlignment="1">
      <alignment horizontal="center" vertical="center"/>
    </xf>
    <xf numFmtId="3" fontId="14" fillId="15" borderId="11" xfId="0" applyNumberFormat="1" applyFont="1" applyFill="1" applyBorder="1" applyAlignment="1">
      <alignment vertical="center"/>
    </xf>
    <xf numFmtId="2" fontId="9" fillId="14" borderId="11" xfId="0" applyNumberFormat="1" applyFont="1" applyFill="1" applyBorder="1" applyAlignment="1">
      <alignment vertical="center"/>
    </xf>
    <xf numFmtId="166" fontId="9" fillId="14" borderId="11" xfId="0" applyNumberFormat="1" applyFont="1" applyFill="1" applyBorder="1" applyAlignment="1">
      <alignment vertical="center"/>
    </xf>
    <xf numFmtId="10" fontId="9" fillId="14" borderId="11" xfId="0" applyNumberFormat="1" applyFont="1" applyFill="1" applyBorder="1" applyAlignment="1">
      <alignment vertical="center"/>
    </xf>
    <xf numFmtId="167" fontId="9" fillId="14" borderId="11" xfId="0" applyNumberFormat="1" applyFont="1" applyFill="1" applyBorder="1" applyAlignment="1">
      <alignment vertical="center"/>
    </xf>
    <xf numFmtId="0" fontId="9" fillId="14" borderId="36" xfId="0" applyFont="1" applyFill="1" applyBorder="1" applyAlignment="1">
      <alignment vertical="center"/>
    </xf>
    <xf numFmtId="0" fontId="13" fillId="14" borderId="36" xfId="0" applyFont="1" applyFill="1" applyBorder="1" applyAlignment="1">
      <alignment horizontal="center" vertical="center"/>
    </xf>
    <xf numFmtId="0" fontId="13" fillId="14" borderId="11" xfId="0" applyFont="1" applyFill="1" applyBorder="1" applyAlignment="1">
      <alignment horizontal="left" vertical="center"/>
    </xf>
    <xf numFmtId="0" fontId="13" fillId="14" borderId="11" xfId="0" applyFont="1" applyFill="1" applyBorder="1" applyAlignment="1">
      <alignment horizontal="center" vertical="center"/>
    </xf>
    <xf numFmtId="2" fontId="13" fillId="14" borderId="36" xfId="0" applyNumberFormat="1" applyFont="1" applyFill="1" applyBorder="1" applyAlignment="1">
      <alignment horizontal="center" vertical="center"/>
    </xf>
    <xf numFmtId="0" fontId="8" fillId="24" borderId="35" xfId="0" applyFont="1" applyFill="1" applyBorder="1" applyAlignment="1">
      <alignment vertical="center"/>
    </xf>
    <xf numFmtId="0" fontId="8" fillId="24" borderId="11" xfId="0" applyFont="1" applyFill="1" applyBorder="1" applyAlignment="1">
      <alignment horizontal="center" vertical="center"/>
    </xf>
    <xf numFmtId="0" fontId="8" fillId="24" borderId="36" xfId="0" applyFont="1" applyFill="1" applyBorder="1" applyAlignment="1">
      <alignment horizontal="center" vertical="center"/>
    </xf>
    <xf numFmtId="49" fontId="12" fillId="19" borderId="35" xfId="0" applyNumberFormat="1" applyFont="1" applyFill="1" applyBorder="1" applyAlignment="1">
      <alignment vertical="center"/>
    </xf>
    <xf numFmtId="3" fontId="12" fillId="19" borderId="11" xfId="0" applyNumberFormat="1" applyFont="1" applyFill="1" applyBorder="1" applyAlignment="1">
      <alignment vertical="center"/>
    </xf>
    <xf numFmtId="0" fontId="12" fillId="18" borderId="35" xfId="0" applyFont="1" applyFill="1" applyBorder="1" applyAlignment="1">
      <alignment vertical="center"/>
    </xf>
    <xf numFmtId="49" fontId="8" fillId="19" borderId="35" xfId="0" applyNumberFormat="1" applyFont="1" applyFill="1" applyBorder="1" applyAlignment="1">
      <alignment vertical="center"/>
    </xf>
    <xf numFmtId="49" fontId="12" fillId="19" borderId="11" xfId="0" applyNumberFormat="1" applyFont="1" applyFill="1" applyBorder="1" applyAlignment="1">
      <alignment vertical="center"/>
    </xf>
    <xf numFmtId="0" fontId="13" fillId="14" borderId="35" xfId="0" applyFont="1" applyFill="1" applyBorder="1" applyAlignment="1">
      <alignment vertical="center"/>
    </xf>
    <xf numFmtId="0" fontId="8" fillId="14" borderId="35" xfId="0" applyFont="1" applyFill="1" applyBorder="1" applyAlignment="1">
      <alignment vertical="center"/>
    </xf>
    <xf numFmtId="0" fontId="13" fillId="14" borderId="11" xfId="0" applyFont="1" applyFill="1" applyBorder="1" applyAlignment="1">
      <alignment vertical="center"/>
    </xf>
    <xf numFmtId="0" fontId="13" fillId="16" borderId="77" xfId="0" applyFont="1" applyFill="1" applyBorder="1" applyAlignment="1">
      <alignment vertical="center" wrapText="1"/>
    </xf>
    <xf numFmtId="0" fontId="13" fillId="16" borderId="68" xfId="0" applyFont="1" applyFill="1" applyBorder="1" applyAlignment="1">
      <alignment horizontal="center" vertical="center" wrapText="1"/>
    </xf>
    <xf numFmtId="0" fontId="13" fillId="16" borderId="68" xfId="0" applyFont="1" applyFill="1" applyBorder="1" applyAlignment="1">
      <alignment vertical="center" wrapText="1"/>
    </xf>
    <xf numFmtId="169" fontId="13" fillId="16" borderId="68" xfId="0" applyNumberFormat="1" applyFont="1" applyFill="1" applyBorder="1" applyAlignment="1">
      <alignment horizontal="center" vertical="center" wrapText="1"/>
    </xf>
    <xf numFmtId="1" fontId="13" fillId="16" borderId="68" xfId="0" applyNumberFormat="1" applyFont="1" applyFill="1" applyBorder="1" applyAlignment="1">
      <alignment horizontal="center" vertical="center" wrapText="1"/>
    </xf>
    <xf numFmtId="173" fontId="13" fillId="16" borderId="68" xfId="0" applyNumberFormat="1" applyFont="1" applyFill="1" applyBorder="1" applyAlignment="1">
      <alignment horizontal="center" vertical="center" wrapText="1"/>
    </xf>
    <xf numFmtId="2" fontId="13" fillId="16" borderId="68" xfId="0" applyNumberFormat="1" applyFont="1" applyFill="1" applyBorder="1" applyAlignment="1">
      <alignment horizontal="center" vertical="center" wrapText="1"/>
    </xf>
    <xf numFmtId="167" fontId="13" fillId="24" borderId="68" xfId="0" applyNumberFormat="1" applyFont="1" applyFill="1" applyBorder="1" applyAlignment="1">
      <alignment horizontal="center" vertical="center" wrapText="1"/>
    </xf>
    <xf numFmtId="169" fontId="13" fillId="16" borderId="78" xfId="0" applyNumberFormat="1" applyFont="1" applyFill="1" applyBorder="1" applyAlignment="1">
      <alignment horizontal="center" vertical="center" wrapText="1"/>
    </xf>
    <xf numFmtId="0" fontId="13" fillId="16" borderId="77" xfId="0" applyFont="1" applyFill="1" applyBorder="1" applyAlignment="1">
      <alignment horizontal="left" vertical="center" wrapText="1"/>
    </xf>
    <xf numFmtId="3" fontId="13" fillId="24" borderId="68" xfId="0" applyNumberFormat="1" applyFont="1" applyFill="1" applyBorder="1" applyAlignment="1">
      <alignment horizontal="center" vertical="center" wrapText="1"/>
    </xf>
    <xf numFmtId="2" fontId="13" fillId="24" borderId="68" xfId="0" applyNumberFormat="1" applyFont="1" applyFill="1" applyBorder="1" applyAlignment="1">
      <alignment horizontal="center" vertical="center" wrapText="1"/>
    </xf>
    <xf numFmtId="166" fontId="13" fillId="47" borderId="68" xfId="0" applyNumberFormat="1" applyFont="1" applyFill="1" applyBorder="1" applyAlignment="1">
      <alignment horizontal="center" vertical="center" wrapText="1"/>
    </xf>
    <xf numFmtId="173" fontId="13" fillId="16" borderId="78" xfId="0" applyNumberFormat="1" applyFont="1" applyFill="1" applyBorder="1" applyAlignment="1">
      <alignment horizontal="center" vertical="center" wrapText="1"/>
    </xf>
    <xf numFmtId="49" fontId="13" fillId="19" borderId="77" xfId="0" applyNumberFormat="1" applyFont="1" applyFill="1" applyBorder="1" applyAlignment="1">
      <alignment vertical="center"/>
    </xf>
    <xf numFmtId="49" fontId="13" fillId="19" borderId="78" xfId="0" applyNumberFormat="1" applyFont="1" applyFill="1" applyBorder="1" applyAlignment="1">
      <alignment horizontal="center" vertical="center" wrapText="1"/>
    </xf>
    <xf numFmtId="49" fontId="13" fillId="19" borderId="68" xfId="0" applyNumberFormat="1" applyFont="1" applyFill="1" applyBorder="1" applyAlignment="1">
      <alignment vertical="center"/>
    </xf>
    <xf numFmtId="49" fontId="13" fillId="19" borderId="68" xfId="0" applyNumberFormat="1" applyFont="1" applyFill="1" applyBorder="1" applyAlignment="1">
      <alignment horizontal="left" vertical="center" wrapText="1"/>
    </xf>
    <xf numFmtId="49" fontId="13" fillId="19" borderId="68" xfId="0" applyNumberFormat="1" applyFont="1" applyFill="1" applyBorder="1" applyAlignment="1">
      <alignment horizontal="center" vertical="center" wrapText="1"/>
    </xf>
    <xf numFmtId="2" fontId="13" fillId="19" borderId="78" xfId="0" applyNumberFormat="1" applyFont="1" applyFill="1" applyBorder="1" applyAlignment="1">
      <alignment horizontal="center" vertical="center" wrapText="1"/>
    </xf>
    <xf numFmtId="49" fontId="13" fillId="19" borderId="78" xfId="0" applyNumberFormat="1" applyFont="1" applyFill="1" applyBorder="1" applyAlignment="1">
      <alignment horizontal="left" vertical="center"/>
    </xf>
    <xf numFmtId="0" fontId="13" fillId="24" borderId="77" xfId="0" applyFont="1" applyFill="1" applyBorder="1" applyAlignment="1">
      <alignment vertical="center" wrapText="1"/>
    </xf>
    <xf numFmtId="0" fontId="13" fillId="24" borderId="68" xfId="0" applyFont="1" applyFill="1" applyBorder="1" applyAlignment="1">
      <alignment horizontal="center" vertical="center" wrapText="1"/>
    </xf>
    <xf numFmtId="0" fontId="13" fillId="24" borderId="78" xfId="0" applyFont="1" applyFill="1" applyBorder="1" applyAlignment="1">
      <alignment horizontal="center" vertical="center" wrapText="1"/>
    </xf>
    <xf numFmtId="0" fontId="49" fillId="55" borderId="77" xfId="0" applyFont="1" applyFill="1" applyBorder="1" applyAlignment="1">
      <alignment vertical="center" wrapText="1"/>
    </xf>
    <xf numFmtId="0" fontId="49" fillId="55" borderId="68" xfId="0" applyFont="1" applyFill="1" applyBorder="1" applyAlignment="1">
      <alignment horizontal="center" vertical="center" wrapText="1"/>
    </xf>
    <xf numFmtId="0" fontId="49" fillId="55" borderId="68" xfId="0" applyFont="1" applyFill="1" applyBorder="1" applyAlignment="1">
      <alignment vertical="center" wrapText="1"/>
    </xf>
    <xf numFmtId="169" fontId="49" fillId="55" borderId="68" xfId="0" applyNumberFormat="1" applyFont="1" applyFill="1" applyBorder="1" applyAlignment="1">
      <alignment horizontal="center" vertical="center" wrapText="1"/>
    </xf>
    <xf numFmtId="1" fontId="49" fillId="55" borderId="68" xfId="0" applyNumberFormat="1" applyFont="1" applyFill="1" applyBorder="1" applyAlignment="1">
      <alignment horizontal="center" vertical="center" wrapText="1"/>
    </xf>
    <xf numFmtId="2" fontId="49" fillId="55" borderId="68" xfId="0" applyNumberFormat="1" applyFont="1" applyFill="1" applyBorder="1" applyAlignment="1">
      <alignment horizontal="center" vertical="center" wrapText="1"/>
    </xf>
    <xf numFmtId="169" fontId="49" fillId="55" borderId="78" xfId="0" applyNumberFormat="1" applyFont="1" applyFill="1" applyBorder="1" applyAlignment="1">
      <alignment horizontal="center" vertical="center" wrapText="1"/>
    </xf>
    <xf numFmtId="0" fontId="49" fillId="55" borderId="77" xfId="0" applyFont="1" applyFill="1" applyBorder="1" applyAlignment="1">
      <alignment horizontal="left" vertical="center" wrapText="1"/>
    </xf>
    <xf numFmtId="3" fontId="49" fillId="56" borderId="68" xfId="0" applyNumberFormat="1" applyFont="1" applyFill="1" applyBorder="1" applyAlignment="1">
      <alignment horizontal="center" vertical="center" wrapText="1"/>
    </xf>
    <xf numFmtId="2" fontId="49" fillId="56" borderId="68" xfId="0" applyNumberFormat="1" applyFont="1" applyFill="1" applyBorder="1" applyAlignment="1">
      <alignment horizontal="center" vertical="center" wrapText="1"/>
    </xf>
    <xf numFmtId="173" fontId="49" fillId="55" borderId="68" xfId="0" applyNumberFormat="1" applyFont="1" applyFill="1" applyBorder="1" applyAlignment="1">
      <alignment horizontal="center" vertical="center" wrapText="1"/>
    </xf>
    <xf numFmtId="167" fontId="49" fillId="56" borderId="68" xfId="0" applyNumberFormat="1" applyFont="1" applyFill="1" applyBorder="1" applyAlignment="1">
      <alignment horizontal="center" vertical="center" wrapText="1"/>
    </xf>
    <xf numFmtId="173" fontId="49" fillId="55" borderId="78" xfId="0" applyNumberFormat="1" applyFont="1" applyFill="1" applyBorder="1" applyAlignment="1">
      <alignment horizontal="center" vertical="center" wrapText="1"/>
    </xf>
    <xf numFmtId="49" fontId="13" fillId="58" borderId="77" xfId="0" applyNumberFormat="1" applyFont="1" applyFill="1" applyBorder="1" applyAlignment="1">
      <alignment vertical="center"/>
    </xf>
    <xf numFmtId="49" fontId="13" fillId="58" borderId="78" xfId="0" applyNumberFormat="1" applyFont="1" applyFill="1" applyBorder="1" applyAlignment="1">
      <alignment horizontal="center" vertical="center"/>
    </xf>
    <xf numFmtId="0" fontId="13" fillId="52" borderId="77" xfId="0" applyFont="1" applyFill="1" applyBorder="1" applyAlignment="1">
      <alignment vertical="center"/>
    </xf>
    <xf numFmtId="0" fontId="13" fillId="53" borderId="68" xfId="0" applyFont="1" applyFill="1" applyBorder="1" applyAlignment="1">
      <alignment horizontal="left" vertical="center"/>
    </xf>
    <xf numFmtId="3" fontId="13" fillId="54" borderId="68" xfId="0" applyNumberFormat="1" applyFont="1" applyFill="1" applyBorder="1" applyAlignment="1">
      <alignment horizontal="center" vertical="center"/>
    </xf>
    <xf numFmtId="2" fontId="13" fillId="54" borderId="78" xfId="0" applyNumberFormat="1" applyFont="1" applyFill="1" applyBorder="1" applyAlignment="1">
      <alignment horizontal="center" vertical="center"/>
    </xf>
    <xf numFmtId="0" fontId="13" fillId="53" borderId="78" xfId="0" applyFont="1" applyFill="1" applyBorder="1" applyAlignment="1">
      <alignment horizontal="left" vertical="center"/>
    </xf>
    <xf numFmtId="0" fontId="8" fillId="56" borderId="77" xfId="0" applyFont="1" applyFill="1" applyBorder="1" applyAlignment="1">
      <alignment vertical="center"/>
    </xf>
    <xf numFmtId="0" fontId="8" fillId="56" borderId="68" xfId="0" applyFont="1" applyFill="1" applyBorder="1" applyAlignment="1">
      <alignment horizontal="center" vertical="center"/>
    </xf>
    <xf numFmtId="0" fontId="8" fillId="56" borderId="78" xfId="0" applyFont="1" applyFill="1" applyBorder="1" applyAlignment="1">
      <alignment horizontal="center" vertical="center"/>
    </xf>
    <xf numFmtId="0" fontId="8" fillId="46" borderId="35" xfId="0" applyFont="1" applyFill="1" applyBorder="1" applyAlignment="1">
      <alignment horizontal="left" vertical="center"/>
    </xf>
    <xf numFmtId="0" fontId="8" fillId="46" borderId="11" xfId="0" applyFont="1" applyFill="1" applyBorder="1" applyAlignment="1">
      <alignment horizontal="center" vertical="center"/>
    </xf>
    <xf numFmtId="0" fontId="8" fillId="48" borderId="11" xfId="0" applyFont="1" applyFill="1" applyBorder="1" applyAlignment="1">
      <alignment horizontal="left" vertical="center"/>
    </xf>
    <xf numFmtId="169" fontId="8" fillId="48" borderId="11" xfId="0" applyNumberFormat="1" applyFont="1" applyFill="1" applyBorder="1" applyAlignment="1">
      <alignment horizontal="center" vertical="center"/>
    </xf>
    <xf numFmtId="1" fontId="8" fillId="17" borderId="11" xfId="0" applyNumberFormat="1" applyFont="1" applyFill="1" applyBorder="1" applyAlignment="1">
      <alignment horizontal="center" vertical="center"/>
    </xf>
    <xf numFmtId="173" fontId="8" fillId="17" borderId="11" xfId="0" applyNumberFormat="1" applyFont="1" applyFill="1" applyBorder="1" applyAlignment="1">
      <alignment horizontal="center" vertical="center"/>
    </xf>
    <xf numFmtId="2" fontId="8" fillId="17" borderId="11" xfId="0" applyNumberFormat="1" applyFont="1" applyFill="1" applyBorder="1" applyAlignment="1">
      <alignment horizontal="center" vertical="center"/>
    </xf>
    <xf numFmtId="167" fontId="8" fillId="17" borderId="11" xfId="0" applyNumberFormat="1" applyFont="1" applyFill="1" applyBorder="1" applyAlignment="1">
      <alignment horizontal="center" vertical="center"/>
    </xf>
    <xf numFmtId="169" fontId="8" fillId="17" borderId="36" xfId="0" applyNumberFormat="1" applyFont="1" applyFill="1" applyBorder="1" applyAlignment="1">
      <alignment horizontal="center" vertical="center"/>
    </xf>
    <xf numFmtId="3" fontId="8" fillId="46" borderId="11" xfId="0" applyNumberFormat="1" applyFont="1" applyFill="1" applyBorder="1" applyAlignment="1">
      <alignment vertical="center"/>
    </xf>
    <xf numFmtId="2" fontId="8" fillId="46" borderId="11" xfId="0" applyNumberFormat="1" applyFont="1" applyFill="1" applyBorder="1" applyAlignment="1">
      <alignment horizontal="center" vertical="center"/>
    </xf>
    <xf numFmtId="166" fontId="8" fillId="46" borderId="11" xfId="5" applyNumberFormat="1" applyFont="1" applyFill="1" applyBorder="1" applyAlignment="1" applyProtection="1">
      <alignment horizontal="center" vertical="center"/>
    </xf>
    <xf numFmtId="166" fontId="9" fillId="46" borderId="11" xfId="5" applyNumberFormat="1" applyFont="1" applyFill="1" applyBorder="1" applyAlignment="1" applyProtection="1">
      <alignment horizontal="center" vertical="center"/>
    </xf>
    <xf numFmtId="9" fontId="8" fillId="17" borderId="11" xfId="5" applyFont="1" applyFill="1" applyBorder="1" applyAlignment="1" applyProtection="1">
      <alignment horizontal="center" vertical="center"/>
    </xf>
    <xf numFmtId="173" fontId="8" fillId="17" borderId="36" xfId="0" applyNumberFormat="1" applyFont="1" applyFill="1" applyBorder="1" applyAlignment="1">
      <alignment horizontal="center" vertical="center"/>
    </xf>
    <xf numFmtId="49" fontId="8" fillId="49" borderId="35" xfId="0" applyNumberFormat="1" applyFont="1" applyFill="1" applyBorder="1" applyAlignment="1">
      <alignment vertical="center"/>
    </xf>
    <xf numFmtId="172" fontId="9" fillId="49" borderId="36" xfId="0" applyNumberFormat="1" applyFont="1" applyFill="1" applyBorder="1" applyAlignment="1">
      <alignment horizontal="center" vertical="center"/>
    </xf>
    <xf numFmtId="0" fontId="8" fillId="46" borderId="11" xfId="0" applyFont="1" applyFill="1" applyBorder="1" applyAlignment="1">
      <alignment horizontal="left" vertical="center"/>
    </xf>
    <xf numFmtId="3" fontId="8" fillId="17" borderId="11" xfId="0" applyNumberFormat="1" applyFont="1" applyFill="1" applyBorder="1" applyAlignment="1">
      <alignment horizontal="left" vertical="center"/>
    </xf>
    <xf numFmtId="3" fontId="8" fillId="46" borderId="11" xfId="0" applyNumberFormat="1" applyFont="1" applyFill="1" applyBorder="1" applyAlignment="1">
      <alignment horizontal="center" vertical="center"/>
    </xf>
    <xf numFmtId="2" fontId="8" fillId="17" borderId="36" xfId="0" applyNumberFormat="1" applyFont="1" applyFill="1" applyBorder="1" applyAlignment="1">
      <alignment horizontal="center" vertical="center"/>
    </xf>
    <xf numFmtId="0" fontId="48" fillId="51" borderId="35" xfId="0" applyFont="1" applyFill="1" applyBorder="1" applyAlignment="1">
      <alignment horizontal="left" vertical="center" wrapText="1"/>
    </xf>
    <xf numFmtId="0" fontId="8" fillId="51" borderId="36" xfId="0" applyFont="1" applyFill="1" applyBorder="1"/>
    <xf numFmtId="0" fontId="8" fillId="50" borderId="35" xfId="0" applyFont="1" applyFill="1" applyBorder="1" applyAlignment="1">
      <alignment vertical="center"/>
    </xf>
    <xf numFmtId="0" fontId="8" fillId="50" borderId="11" xfId="0" applyFont="1" applyFill="1" applyBorder="1" applyAlignment="1">
      <alignment horizontal="center" vertical="center"/>
    </xf>
    <xf numFmtId="0" fontId="8" fillId="50" borderId="36" xfId="0" applyFont="1" applyFill="1" applyBorder="1" applyAlignment="1">
      <alignment horizontal="center" vertical="center"/>
    </xf>
    <xf numFmtId="0" fontId="8" fillId="3" borderId="44" xfId="0" applyFont="1" applyFill="1" applyBorder="1" applyAlignment="1">
      <alignment vertical="center" wrapText="1"/>
    </xf>
    <xf numFmtId="49" fontId="9" fillId="49" borderId="35" xfId="0" applyNumberFormat="1" applyFont="1" applyFill="1" applyBorder="1" applyAlignment="1">
      <alignment vertical="center" wrapText="1"/>
    </xf>
    <xf numFmtId="172" fontId="9" fillId="49" borderId="36" xfId="4" applyNumberFormat="1" applyFont="1" applyFill="1" applyBorder="1" applyAlignment="1" applyProtection="1">
      <alignment horizontal="center" vertical="center" wrapText="1"/>
    </xf>
    <xf numFmtId="0" fontId="8" fillId="3" borderId="52" xfId="0" applyFont="1" applyFill="1" applyBorder="1" applyAlignment="1">
      <alignment vertical="center" wrapText="1"/>
    </xf>
    <xf numFmtId="0" fontId="8" fillId="3" borderId="21" xfId="0" applyFont="1" applyFill="1" applyBorder="1" applyAlignment="1">
      <alignment vertical="center" wrapText="1"/>
    </xf>
    <xf numFmtId="0" fontId="8" fillId="0" borderId="0" xfId="0" applyFont="1" applyAlignment="1">
      <alignment vertical="center" wrapText="1"/>
    </xf>
    <xf numFmtId="49" fontId="9" fillId="49" borderId="35" xfId="0" applyNumberFormat="1" applyFont="1" applyFill="1" applyBorder="1" applyAlignment="1">
      <alignment vertical="center"/>
    </xf>
    <xf numFmtId="172" fontId="9" fillId="49" borderId="36" xfId="4" applyNumberFormat="1" applyFont="1" applyFill="1" applyBorder="1" applyAlignment="1" applyProtection="1">
      <alignment horizontal="center" vertical="center"/>
    </xf>
    <xf numFmtId="0" fontId="8" fillId="50" borderId="30" xfId="0" applyFont="1" applyFill="1" applyBorder="1" applyAlignment="1">
      <alignment vertical="center" wrapText="1"/>
    </xf>
    <xf numFmtId="0" fontId="8" fillId="50" borderId="37" xfId="0" applyFont="1" applyFill="1" applyBorder="1" applyAlignment="1">
      <alignment horizontal="center" vertical="center" wrapText="1"/>
    </xf>
    <xf numFmtId="0" fontId="8" fillId="50" borderId="31" xfId="0" applyFont="1" applyFill="1" applyBorder="1" applyAlignment="1">
      <alignment horizontal="center" vertical="center" wrapText="1"/>
    </xf>
    <xf numFmtId="169" fontId="9" fillId="49" borderId="36" xfId="0" applyNumberFormat="1" applyFont="1" applyFill="1" applyBorder="1" applyAlignment="1">
      <alignment horizontal="center" vertical="center"/>
    </xf>
    <xf numFmtId="169" fontId="8" fillId="49" borderId="36" xfId="0" applyNumberFormat="1" applyFont="1" applyFill="1" applyBorder="1" applyAlignment="1">
      <alignment horizontal="center" vertical="center"/>
    </xf>
    <xf numFmtId="49" fontId="9" fillId="49" borderId="30" xfId="0" applyNumberFormat="1" applyFont="1" applyFill="1" applyBorder="1" applyAlignment="1">
      <alignment vertical="center"/>
    </xf>
    <xf numFmtId="169" fontId="9" fillId="49" borderId="31" xfId="0" applyNumberFormat="1" applyFont="1" applyFill="1" applyBorder="1" applyAlignment="1">
      <alignment horizontal="center" vertical="center"/>
    </xf>
    <xf numFmtId="0" fontId="8" fillId="29" borderId="0" xfId="0" applyFont="1" applyFill="1" applyAlignment="1">
      <alignment horizontal="center" vertical="center"/>
    </xf>
    <xf numFmtId="49" fontId="9" fillId="49" borderId="11" xfId="0" applyNumberFormat="1" applyFont="1" applyFill="1" applyBorder="1" applyAlignment="1">
      <alignment vertical="center"/>
    </xf>
    <xf numFmtId="169" fontId="9" fillId="19" borderId="11" xfId="0" applyNumberFormat="1" applyFont="1" applyFill="1" applyBorder="1" applyAlignment="1">
      <alignment horizontal="left" vertical="center"/>
    </xf>
    <xf numFmtId="169" fontId="9" fillId="49" borderId="11" xfId="0" applyNumberFormat="1" applyFont="1" applyFill="1" applyBorder="1" applyAlignment="1">
      <alignment horizontal="center" vertical="center"/>
    </xf>
    <xf numFmtId="2" fontId="9" fillId="19" borderId="36" xfId="0" applyNumberFormat="1" applyFont="1" applyFill="1" applyBorder="1" applyAlignment="1">
      <alignment horizontal="center" vertical="center"/>
    </xf>
    <xf numFmtId="49" fontId="9" fillId="49" borderId="37" xfId="0" applyNumberFormat="1" applyFont="1" applyFill="1" applyBorder="1" applyAlignment="1">
      <alignment vertical="center"/>
    </xf>
    <xf numFmtId="169" fontId="9" fillId="19" borderId="37" xfId="0" applyNumberFormat="1" applyFont="1" applyFill="1" applyBorder="1" applyAlignment="1">
      <alignment horizontal="left" vertical="center"/>
    </xf>
    <xf numFmtId="169" fontId="9" fillId="49" borderId="37" xfId="0" applyNumberFormat="1" applyFont="1" applyFill="1" applyBorder="1" applyAlignment="1">
      <alignment horizontal="center" vertical="center"/>
    </xf>
    <xf numFmtId="2" fontId="9" fillId="19" borderId="31" xfId="0" applyNumberFormat="1" applyFont="1" applyFill="1" applyBorder="1" applyAlignment="1">
      <alignment horizontal="center" vertical="center"/>
    </xf>
    <xf numFmtId="0" fontId="8" fillId="3" borderId="47" xfId="0" applyFont="1" applyFill="1" applyBorder="1" applyAlignment="1">
      <alignment vertical="center"/>
    </xf>
    <xf numFmtId="0" fontId="8" fillId="3" borderId="47" xfId="0" applyFont="1" applyFill="1" applyBorder="1" applyAlignment="1">
      <alignment horizontal="left" vertical="center"/>
    </xf>
    <xf numFmtId="0" fontId="8" fillId="3" borderId="45" xfId="0" applyFont="1" applyFill="1" applyBorder="1" applyAlignment="1">
      <alignment vertical="center"/>
    </xf>
    <xf numFmtId="2" fontId="8" fillId="3" borderId="47" xfId="0" applyNumberFormat="1" applyFont="1" applyFill="1" applyBorder="1" applyAlignment="1">
      <alignment vertical="center"/>
    </xf>
    <xf numFmtId="0" fontId="8" fillId="3" borderId="52" xfId="0" applyFont="1" applyFill="1" applyBorder="1" applyAlignment="1">
      <alignment horizontal="left" vertical="center"/>
    </xf>
    <xf numFmtId="2" fontId="8" fillId="3" borderId="52" xfId="0" applyNumberFormat="1" applyFont="1" applyFill="1" applyBorder="1" applyAlignment="1">
      <alignment vertical="center"/>
    </xf>
    <xf numFmtId="0" fontId="8" fillId="46" borderId="30" xfId="0" applyFont="1" applyFill="1" applyBorder="1" applyAlignment="1">
      <alignment horizontal="left" vertical="center"/>
    </xf>
    <xf numFmtId="3" fontId="8" fillId="46" borderId="37" xfId="0" applyNumberFormat="1" applyFont="1" applyFill="1" applyBorder="1" applyAlignment="1">
      <alignment vertical="center"/>
    </xf>
    <xf numFmtId="2" fontId="8" fillId="46" borderId="37" xfId="0" applyNumberFormat="1" applyFont="1" applyFill="1" applyBorder="1" applyAlignment="1">
      <alignment horizontal="center" vertical="center"/>
    </xf>
    <xf numFmtId="166" fontId="8" fillId="46" borderId="37" xfId="5" applyNumberFormat="1" applyFont="1" applyFill="1" applyBorder="1" applyAlignment="1" applyProtection="1">
      <alignment horizontal="center" vertical="center"/>
    </xf>
    <xf numFmtId="166" fontId="9" fillId="46" borderId="37" xfId="5" applyNumberFormat="1" applyFont="1" applyFill="1" applyBorder="1" applyAlignment="1" applyProtection="1">
      <alignment horizontal="center" vertical="center"/>
    </xf>
    <xf numFmtId="9" fontId="8" fillId="17" borderId="37" xfId="5" applyFont="1" applyFill="1" applyBorder="1" applyAlignment="1" applyProtection="1">
      <alignment horizontal="center" vertical="center"/>
    </xf>
    <xf numFmtId="167" fontId="8" fillId="17" borderId="37" xfId="0" applyNumberFormat="1" applyFont="1" applyFill="1" applyBorder="1" applyAlignment="1">
      <alignment horizontal="center" vertical="center"/>
    </xf>
    <xf numFmtId="173" fontId="8" fillId="17" borderId="31" xfId="0" applyNumberFormat="1" applyFont="1" applyFill="1" applyBorder="1" applyAlignment="1">
      <alignment horizontal="center" vertical="center"/>
    </xf>
    <xf numFmtId="0" fontId="8" fillId="30" borderId="11" xfId="0" applyFont="1" applyFill="1" applyBorder="1" applyAlignment="1">
      <alignment vertical="center"/>
    </xf>
    <xf numFmtId="1" fontId="8" fillId="30" borderId="11" xfId="0" applyNumberFormat="1" applyFont="1" applyFill="1" applyBorder="1" applyAlignment="1">
      <alignment horizontal="center" vertical="center"/>
    </xf>
    <xf numFmtId="0" fontId="8" fillId="46" borderId="37" xfId="0" applyFont="1" applyFill="1" applyBorder="1" applyAlignment="1">
      <alignment horizontal="center" vertical="center"/>
    </xf>
    <xf numFmtId="0" fontId="8" fillId="48" borderId="37" xfId="0" applyFont="1" applyFill="1" applyBorder="1" applyAlignment="1">
      <alignment horizontal="left" vertical="center"/>
    </xf>
    <xf numFmtId="169" fontId="8" fillId="48" borderId="37" xfId="0" applyNumberFormat="1" applyFont="1" applyFill="1" applyBorder="1" applyAlignment="1">
      <alignment horizontal="center" vertical="center"/>
    </xf>
    <xf numFmtId="1" fontId="8" fillId="17" borderId="37" xfId="0" applyNumberFormat="1" applyFont="1" applyFill="1" applyBorder="1" applyAlignment="1">
      <alignment horizontal="center" vertical="center"/>
    </xf>
    <xf numFmtId="173" fontId="8" fillId="17" borderId="37" xfId="0" applyNumberFormat="1" applyFont="1" applyFill="1" applyBorder="1" applyAlignment="1">
      <alignment horizontal="center" vertical="center"/>
    </xf>
    <xf numFmtId="2" fontId="8" fillId="17" borderId="37" xfId="0" applyNumberFormat="1" applyFont="1" applyFill="1" applyBorder="1" applyAlignment="1">
      <alignment horizontal="center" vertical="center"/>
    </xf>
    <xf numFmtId="169" fontId="8" fillId="17" borderId="31" xfId="0" applyNumberFormat="1" applyFont="1" applyFill="1" applyBorder="1" applyAlignment="1">
      <alignment horizontal="center" vertical="center"/>
    </xf>
    <xf numFmtId="0" fontId="48" fillId="51" borderId="30" xfId="0" applyFont="1" applyFill="1" applyBorder="1" applyAlignment="1">
      <alignment horizontal="left" vertical="center" wrapText="1"/>
    </xf>
    <xf numFmtId="0" fontId="8" fillId="51" borderId="31" xfId="0" applyFont="1" applyFill="1" applyBorder="1"/>
    <xf numFmtId="0" fontId="8" fillId="3" borderId="21" xfId="0" applyFont="1" applyFill="1" applyBorder="1" applyAlignment="1">
      <alignment horizontal="left" vertical="center"/>
    </xf>
    <xf numFmtId="2" fontId="8" fillId="3" borderId="21" xfId="0" applyNumberFormat="1" applyFont="1" applyFill="1" applyBorder="1" applyAlignment="1">
      <alignment vertical="center"/>
    </xf>
    <xf numFmtId="0" fontId="8" fillId="30" borderId="11" xfId="0" applyFont="1" applyFill="1" applyBorder="1" applyAlignment="1">
      <alignment horizontal="center" vertical="center"/>
    </xf>
    <xf numFmtId="0" fontId="8" fillId="3" borderId="1" xfId="0" applyFont="1" applyFill="1" applyBorder="1" applyAlignment="1">
      <alignment vertical="center"/>
    </xf>
    <xf numFmtId="0" fontId="8" fillId="0" borderId="0" xfId="0" applyFont="1" applyAlignment="1">
      <alignment horizontal="center" vertical="center"/>
    </xf>
    <xf numFmtId="169" fontId="8" fillId="0" borderId="0" xfId="0" applyNumberFormat="1" applyFont="1" applyAlignment="1">
      <alignment horizontal="center" vertical="center"/>
    </xf>
    <xf numFmtId="1" fontId="8" fillId="0" borderId="0" xfId="0" applyNumberFormat="1" applyFont="1" applyAlignment="1">
      <alignment horizontal="center" vertical="center"/>
    </xf>
    <xf numFmtId="173" fontId="8" fillId="0" borderId="0" xfId="0" applyNumberFormat="1" applyFont="1" applyAlignment="1">
      <alignment horizontal="center" vertical="center"/>
    </xf>
    <xf numFmtId="2" fontId="8" fillId="0" borderId="0" xfId="0" applyNumberFormat="1" applyFont="1" applyAlignment="1">
      <alignment horizontal="center" vertical="center"/>
    </xf>
    <xf numFmtId="167" fontId="8" fillId="0" borderId="0" xfId="0" applyNumberFormat="1" applyFont="1" applyAlignment="1">
      <alignment horizontal="center" vertical="center"/>
    </xf>
    <xf numFmtId="0" fontId="8" fillId="0" borderId="0" xfId="0" applyFont="1" applyAlignment="1">
      <alignment horizontal="left" vertical="center"/>
    </xf>
    <xf numFmtId="3" fontId="8" fillId="0" borderId="0" xfId="0" applyNumberFormat="1" applyFont="1" applyAlignment="1">
      <alignment vertical="center"/>
    </xf>
    <xf numFmtId="166" fontId="8" fillId="0" borderId="0" xfId="0" applyNumberFormat="1" applyFont="1" applyAlignment="1">
      <alignment horizontal="center" vertical="center"/>
    </xf>
    <xf numFmtId="166" fontId="9" fillId="0" borderId="0" xfId="0" applyNumberFormat="1" applyFont="1" applyAlignment="1">
      <alignment horizontal="center" vertical="center"/>
    </xf>
    <xf numFmtId="10" fontId="9" fillId="0" borderId="0" xfId="0" applyNumberFormat="1" applyFont="1" applyAlignment="1">
      <alignment horizontal="center" vertical="center"/>
    </xf>
    <xf numFmtId="0" fontId="8" fillId="0" borderId="11" xfId="0" applyFont="1" applyBorder="1" applyAlignment="1">
      <alignment vertical="center"/>
    </xf>
    <xf numFmtId="2" fontId="8" fillId="0" borderId="0" xfId="0" applyNumberFormat="1" applyFont="1" applyAlignment="1">
      <alignment vertical="center"/>
    </xf>
    <xf numFmtId="0" fontId="8" fillId="0" borderId="11" xfId="0" applyFont="1" applyBorder="1" applyAlignment="1">
      <alignment horizontal="center" vertical="center"/>
    </xf>
    <xf numFmtId="0" fontId="27" fillId="3" borderId="11" xfId="0" applyFont="1" applyFill="1" applyBorder="1" applyAlignment="1">
      <alignment vertical="center"/>
    </xf>
    <xf numFmtId="0" fontId="14" fillId="26" borderId="28" xfId="0" applyFont="1" applyFill="1" applyBorder="1" applyAlignment="1" applyProtection="1">
      <alignment horizontal="center" vertical="center"/>
      <protection locked="0"/>
    </xf>
    <xf numFmtId="0" fontId="27" fillId="0" borderId="0" xfId="0" applyFont="1"/>
    <xf numFmtId="169" fontId="49" fillId="56" borderId="68" xfId="0" applyNumberFormat="1" applyFont="1" applyFill="1" applyBorder="1" applyAlignment="1">
      <alignment horizontal="center" vertical="center" wrapText="1"/>
    </xf>
    <xf numFmtId="0" fontId="30" fillId="41" borderId="67" xfId="3" applyFont="1" applyFill="1" applyBorder="1" applyAlignment="1" applyProtection="1">
      <alignment horizontal="left" vertical="center"/>
    </xf>
    <xf numFmtId="3" fontId="8" fillId="41" borderId="11" xfId="4" applyNumberFormat="1" applyFont="1" applyFill="1" applyBorder="1" applyAlignment="1" applyProtection="1">
      <alignment horizontal="center" vertical="center"/>
    </xf>
    <xf numFmtId="3" fontId="8" fillId="41" borderId="43" xfId="4" applyNumberFormat="1" applyFont="1" applyFill="1" applyBorder="1" applyAlignment="1" applyProtection="1">
      <alignment horizontal="center" vertical="center"/>
    </xf>
    <xf numFmtId="9" fontId="13" fillId="41" borderId="54" xfId="5" applyFont="1" applyFill="1" applyBorder="1" applyAlignment="1" applyProtection="1">
      <alignment horizontal="center" vertical="center"/>
    </xf>
    <xf numFmtId="9" fontId="8" fillId="41" borderId="11" xfId="5" applyFont="1" applyFill="1" applyBorder="1" applyAlignment="1" applyProtection="1">
      <alignment vertical="center"/>
    </xf>
    <xf numFmtId="9" fontId="8" fillId="41" borderId="11" xfId="5" applyFont="1" applyFill="1" applyBorder="1" applyAlignment="1" applyProtection="1">
      <alignment horizontal="center" vertical="center"/>
    </xf>
    <xf numFmtId="9" fontId="13" fillId="45" borderId="54" xfId="5" applyFont="1" applyFill="1" applyBorder="1" applyAlignment="1" applyProtection="1">
      <alignment horizontal="center" vertical="center"/>
    </xf>
    <xf numFmtId="9" fontId="13" fillId="6" borderId="54" xfId="5" applyFont="1" applyFill="1" applyBorder="1" applyAlignment="1" applyProtection="1">
      <alignment horizontal="center" vertical="center"/>
    </xf>
    <xf numFmtId="0" fontId="4" fillId="29" borderId="11" xfId="0" applyFont="1" applyFill="1" applyBorder="1" applyAlignment="1">
      <alignment vertical="center"/>
    </xf>
    <xf numFmtId="0" fontId="8" fillId="28" borderId="28" xfId="0" applyFont="1" applyFill="1" applyBorder="1" applyAlignment="1" applyProtection="1">
      <alignment horizontal="right" vertical="center" indent="1"/>
      <protection locked="0"/>
    </xf>
    <xf numFmtId="10" fontId="8" fillId="46" borderId="11" xfId="5" applyNumberFormat="1" applyFont="1" applyFill="1" applyBorder="1" applyAlignment="1" applyProtection="1">
      <alignment horizontal="center" vertical="center"/>
    </xf>
    <xf numFmtId="10" fontId="9" fillId="46" borderId="11" xfId="5" applyNumberFormat="1" applyFont="1" applyFill="1" applyBorder="1" applyAlignment="1" applyProtection="1">
      <alignment horizontal="center" vertical="center"/>
    </xf>
    <xf numFmtId="10" fontId="15" fillId="2" borderId="12" xfId="0" applyNumberFormat="1" applyFont="1" applyFill="1" applyBorder="1" applyAlignment="1">
      <alignment horizontal="center" vertical="center"/>
    </xf>
    <xf numFmtId="10" fontId="8" fillId="3" borderId="11" xfId="0" applyNumberFormat="1" applyFont="1" applyFill="1" applyBorder="1" applyAlignment="1">
      <alignment horizontal="center" vertical="center"/>
    </xf>
    <xf numFmtId="10" fontId="13" fillId="3" borderId="12" xfId="0" applyNumberFormat="1" applyFont="1" applyFill="1" applyBorder="1" applyAlignment="1">
      <alignment horizontal="center" vertical="center"/>
    </xf>
    <xf numFmtId="10" fontId="8" fillId="3" borderId="25" xfId="0" applyNumberFormat="1" applyFont="1" applyFill="1" applyBorder="1" applyAlignment="1">
      <alignment horizontal="center" vertical="center"/>
    </xf>
    <xf numFmtId="10" fontId="13" fillId="47" borderId="68" xfId="0" applyNumberFormat="1" applyFont="1" applyFill="1" applyBorder="1" applyAlignment="1">
      <alignment horizontal="center" vertical="center" wrapText="1"/>
    </xf>
    <xf numFmtId="10" fontId="49" fillId="56" borderId="68" xfId="0" applyNumberFormat="1" applyFont="1" applyFill="1" applyBorder="1" applyAlignment="1">
      <alignment horizontal="center" vertical="center" wrapText="1"/>
    </xf>
    <xf numFmtId="10" fontId="8" fillId="46" borderId="37" xfId="5" applyNumberFormat="1" applyFont="1" applyFill="1" applyBorder="1" applyAlignment="1" applyProtection="1">
      <alignment horizontal="center" vertical="center"/>
    </xf>
    <xf numFmtId="10" fontId="8" fillId="0" borderId="0" xfId="0" applyNumberFormat="1" applyFont="1" applyAlignment="1">
      <alignment horizontal="center" vertical="center"/>
    </xf>
    <xf numFmtId="0" fontId="7" fillId="0" borderId="0" xfId="0" applyFont="1"/>
    <xf numFmtId="0" fontId="0" fillId="29" borderId="0" xfId="0" applyFill="1"/>
    <xf numFmtId="0" fontId="9" fillId="30" borderId="11" xfId="0" applyFont="1" applyFill="1" applyBorder="1"/>
    <xf numFmtId="0" fontId="53" fillId="60" borderId="66" xfId="1" applyFont="1" applyFill="1" applyBorder="1" applyAlignment="1" applyProtection="1">
      <alignment horizontal="left"/>
    </xf>
    <xf numFmtId="0" fontId="0" fillId="29" borderId="11" xfId="0" applyFill="1" applyBorder="1"/>
    <xf numFmtId="0" fontId="0" fillId="29" borderId="0" xfId="0" applyFill="1" applyAlignment="1">
      <alignment horizontal="center"/>
    </xf>
    <xf numFmtId="0" fontId="53" fillId="60" borderId="75" xfId="1" applyFont="1" applyFill="1" applyBorder="1" applyAlignment="1" applyProtection="1">
      <alignment horizontal="left"/>
    </xf>
    <xf numFmtId="0" fontId="8" fillId="30" borderId="11" xfId="0" applyFont="1" applyFill="1" applyBorder="1"/>
    <xf numFmtId="0" fontId="53" fillId="60" borderId="66" xfId="1" applyNumberFormat="1" applyFont="1" applyFill="1" applyBorder="1" applyAlignment="1" applyProtection="1">
      <alignment horizontal="left"/>
    </xf>
    <xf numFmtId="0" fontId="41" fillId="41" borderId="11" xfId="3" applyNumberFormat="1" applyFont="1" applyFill="1" applyBorder="1" applyAlignment="1" applyProtection="1">
      <alignment horizontal="left"/>
    </xf>
    <xf numFmtId="0" fontId="8" fillId="28" borderId="28" xfId="0" applyFont="1" applyFill="1" applyBorder="1" applyAlignment="1" applyProtection="1">
      <alignment horizontal="right" indent="1"/>
      <protection locked="0"/>
    </xf>
    <xf numFmtId="3" fontId="8" fillId="38" borderId="28" xfId="0" applyNumberFormat="1" applyFont="1" applyFill="1" applyBorder="1" applyAlignment="1" applyProtection="1">
      <alignment horizontal="center"/>
      <protection locked="0"/>
    </xf>
    <xf numFmtId="9" fontId="13" fillId="41" borderId="11" xfId="5" applyFont="1" applyFill="1" applyBorder="1" applyAlignment="1" applyProtection="1">
      <alignment horizontal="center" vertical="center"/>
    </xf>
    <xf numFmtId="0" fontId="8" fillId="7" borderId="13" xfId="0" applyFont="1" applyFill="1" applyBorder="1" applyAlignment="1" applyProtection="1">
      <alignment horizontal="center" vertical="center"/>
      <protection locked="0"/>
    </xf>
    <xf numFmtId="9" fontId="8" fillId="7" borderId="28" xfId="0" applyNumberFormat="1" applyFont="1" applyFill="1" applyBorder="1" applyAlignment="1" applyProtection="1">
      <alignment horizontal="center" vertical="center"/>
      <protection locked="0"/>
    </xf>
    <xf numFmtId="0" fontId="3" fillId="2" borderId="11" xfId="0" applyFont="1" applyFill="1" applyBorder="1" applyAlignment="1">
      <alignment horizontal="left" vertical="center"/>
    </xf>
    <xf numFmtId="0" fontId="8" fillId="41" borderId="11" xfId="0" applyFont="1" applyFill="1" applyBorder="1" applyAlignment="1">
      <alignment horizontal="right" vertical="center" indent="1"/>
    </xf>
    <xf numFmtId="0" fontId="8" fillId="41" borderId="11" xfId="0" applyFont="1" applyFill="1" applyBorder="1" applyAlignment="1">
      <alignment horizontal="left" vertical="center" indent="1"/>
    </xf>
    <xf numFmtId="166" fontId="13" fillId="41" borderId="54" xfId="5" applyNumberFormat="1" applyFont="1" applyFill="1" applyBorder="1" applyAlignment="1" applyProtection="1">
      <alignment horizontal="center" vertical="center"/>
    </xf>
    <xf numFmtId="3" fontId="8" fillId="7" borderId="28" xfId="0" applyNumberFormat="1" applyFont="1" applyFill="1" applyBorder="1" applyAlignment="1" applyProtection="1">
      <alignment horizontal="center" vertical="center"/>
      <protection locked="0"/>
    </xf>
    <xf numFmtId="9" fontId="8" fillId="18" borderId="11" xfId="5" applyFont="1" applyFill="1" applyBorder="1" applyAlignment="1" applyProtection="1">
      <alignment horizontal="center" vertical="center"/>
    </xf>
    <xf numFmtId="0" fontId="8" fillId="40" borderId="11" xfId="0" applyFont="1" applyFill="1" applyBorder="1" applyAlignment="1">
      <alignment vertical="center"/>
    </xf>
    <xf numFmtId="9" fontId="8" fillId="41" borderId="65" xfId="5" applyFont="1" applyFill="1" applyBorder="1" applyAlignment="1" applyProtection="1">
      <alignment horizontal="center" vertical="center"/>
    </xf>
    <xf numFmtId="9" fontId="8" fillId="41" borderId="43" xfId="5" applyFont="1" applyFill="1" applyBorder="1" applyAlignment="1" applyProtection="1">
      <alignment horizontal="center" vertical="center"/>
    </xf>
    <xf numFmtId="0" fontId="8" fillId="3" borderId="11" xfId="0" applyFont="1" applyFill="1" applyBorder="1" applyAlignment="1">
      <alignment vertical="center" wrapText="1"/>
    </xf>
    <xf numFmtId="0" fontId="0" fillId="30" borderId="11" xfId="0" applyFill="1" applyBorder="1"/>
    <xf numFmtId="3" fontId="8" fillId="28" borderId="28" xfId="0" applyNumberFormat="1" applyFont="1" applyFill="1" applyBorder="1" applyAlignment="1" applyProtection="1">
      <alignment horizontal="center" vertical="center"/>
      <protection locked="0"/>
    </xf>
    <xf numFmtId="0" fontId="8" fillId="28" borderId="28" xfId="0" applyFont="1" applyFill="1" applyBorder="1" applyAlignment="1" applyProtection="1">
      <alignment horizontal="center" vertical="center"/>
      <protection locked="0"/>
    </xf>
    <xf numFmtId="3" fontId="9" fillId="62" borderId="28" xfId="0" applyNumberFormat="1" applyFont="1" applyFill="1" applyBorder="1" applyAlignment="1" applyProtection="1">
      <alignment horizontal="center" vertical="center"/>
      <protection locked="0"/>
    </xf>
    <xf numFmtId="3" fontId="9" fillId="28" borderId="28" xfId="0" applyNumberFormat="1" applyFont="1" applyFill="1" applyBorder="1" applyAlignment="1" applyProtection="1">
      <alignment horizontal="center" vertical="center"/>
      <protection locked="0"/>
    </xf>
    <xf numFmtId="0" fontId="8" fillId="7" borderId="28" xfId="0" applyFont="1" applyFill="1" applyBorder="1" applyAlignment="1" applyProtection="1">
      <alignment horizontal="center" vertical="center"/>
      <protection locked="0"/>
    </xf>
    <xf numFmtId="0" fontId="30" fillId="18" borderId="11" xfId="3" applyFont="1" applyFill="1" applyBorder="1" applyProtection="1"/>
    <xf numFmtId="0" fontId="30" fillId="18" borderId="11" xfId="3" applyFont="1" applyFill="1" applyBorder="1" applyAlignment="1" applyProtection="1">
      <alignment wrapText="1"/>
    </xf>
    <xf numFmtId="3" fontId="8" fillId="7" borderId="64" xfId="0" applyNumberFormat="1" applyFont="1" applyFill="1" applyBorder="1" applyAlignment="1" applyProtection="1">
      <alignment horizontal="center" vertical="center"/>
      <protection locked="0"/>
    </xf>
    <xf numFmtId="9" fontId="8" fillId="6" borderId="11" xfId="5" applyFont="1" applyFill="1" applyBorder="1" applyAlignment="1" applyProtection="1">
      <alignment horizontal="center" vertical="center"/>
    </xf>
    <xf numFmtId="0" fontId="8" fillId="7" borderId="74" xfId="0" applyFont="1" applyFill="1" applyBorder="1" applyAlignment="1" applyProtection="1">
      <alignment horizontal="center" vertical="center"/>
      <protection locked="0"/>
    </xf>
    <xf numFmtId="165" fontId="8" fillId="7" borderId="28" xfId="0" applyNumberFormat="1" applyFont="1" applyFill="1" applyBorder="1" applyAlignment="1" applyProtection="1">
      <alignment horizontal="center" vertical="center"/>
      <protection locked="0"/>
    </xf>
    <xf numFmtId="3" fontId="8" fillId="7" borderId="38" xfId="0" applyNumberFormat="1" applyFont="1" applyFill="1" applyBorder="1" applyAlignment="1" applyProtection="1">
      <alignment horizontal="right" vertical="center" indent="1"/>
      <protection locked="0"/>
    </xf>
    <xf numFmtId="165" fontId="8" fillId="28" borderId="28" xfId="0" applyNumberFormat="1" applyFont="1" applyFill="1" applyBorder="1" applyAlignment="1" applyProtection="1">
      <alignment horizontal="center" vertical="center"/>
      <protection locked="0"/>
    </xf>
    <xf numFmtId="165" fontId="8" fillId="7" borderId="64" xfId="0" applyNumberFormat="1" applyFont="1" applyFill="1" applyBorder="1" applyAlignment="1" applyProtection="1">
      <alignment horizontal="center" vertical="center"/>
      <protection locked="0"/>
    </xf>
    <xf numFmtId="0" fontId="8" fillId="7" borderId="38" xfId="0" applyFont="1" applyFill="1" applyBorder="1" applyAlignment="1" applyProtection="1">
      <alignment horizontal="right" vertical="center" indent="1"/>
      <protection locked="0"/>
    </xf>
    <xf numFmtId="0" fontId="28" fillId="41" borderId="11" xfId="3" applyFill="1" applyBorder="1" applyAlignment="1" applyProtection="1">
      <alignment vertical="center" wrapText="1"/>
    </xf>
    <xf numFmtId="0" fontId="0" fillId="30" borderId="11" xfId="0" applyFill="1" applyBorder="1" applyAlignment="1">
      <alignment vertical="center"/>
    </xf>
    <xf numFmtId="0" fontId="0" fillId="29" borderId="0" xfId="0" applyFill="1" applyAlignment="1">
      <alignment vertical="center"/>
    </xf>
    <xf numFmtId="0" fontId="0" fillId="29" borderId="11" xfId="0" applyFill="1" applyBorder="1" applyAlignment="1">
      <alignment vertical="center"/>
    </xf>
    <xf numFmtId="0" fontId="8" fillId="7" borderId="28" xfId="0" applyFont="1" applyFill="1" applyBorder="1" applyAlignment="1" applyProtection="1">
      <alignment horizontal="right" vertical="center" indent="1"/>
      <protection locked="0"/>
    </xf>
    <xf numFmtId="4" fontId="8" fillId="7" borderId="18" xfId="0" applyNumberFormat="1" applyFont="1" applyFill="1" applyBorder="1" applyAlignment="1" applyProtection="1">
      <alignment horizontal="center" vertical="center"/>
      <protection locked="0"/>
    </xf>
    <xf numFmtId="0" fontId="8" fillId="7" borderId="38" xfId="0" applyFont="1" applyFill="1" applyBorder="1" applyAlignment="1" applyProtection="1">
      <alignment horizontal="center" vertical="center"/>
      <protection locked="0"/>
    </xf>
    <xf numFmtId="0" fontId="15" fillId="2" borderId="12" xfId="0" applyFont="1" applyFill="1" applyBorder="1" applyAlignment="1">
      <alignment horizontal="left" vertical="center"/>
    </xf>
    <xf numFmtId="9" fontId="13" fillId="41" borderId="5" xfId="5" applyFont="1" applyFill="1" applyBorder="1" applyAlignment="1" applyProtection="1">
      <alignment horizontal="center" vertical="center"/>
    </xf>
    <xf numFmtId="166" fontId="8" fillId="7" borderId="4" xfId="0" applyNumberFormat="1" applyFont="1" applyFill="1" applyBorder="1" applyAlignment="1" applyProtection="1">
      <alignment horizontal="center" vertical="center"/>
      <protection locked="0"/>
    </xf>
    <xf numFmtId="0" fontId="0" fillId="0" borderId="11" xfId="0" applyBorder="1" applyAlignment="1">
      <alignment vertical="center"/>
    </xf>
    <xf numFmtId="0" fontId="8" fillId="40" borderId="11" xfId="0" applyFont="1" applyFill="1" applyBorder="1" applyAlignment="1">
      <alignment horizontal="center" vertical="center"/>
    </xf>
    <xf numFmtId="9" fontId="8" fillId="40" borderId="11" xfId="0" applyNumberFormat="1" applyFont="1" applyFill="1" applyBorder="1" applyAlignment="1">
      <alignment horizontal="center" vertical="center"/>
    </xf>
    <xf numFmtId="0" fontId="0" fillId="0" borderId="11" xfId="0" applyBorder="1" applyAlignment="1">
      <alignment horizontal="center" vertical="center"/>
    </xf>
    <xf numFmtId="9" fontId="8" fillId="40" borderId="11" xfId="5" applyFont="1" applyFill="1" applyBorder="1" applyAlignment="1">
      <alignment horizontal="center" vertical="center"/>
    </xf>
    <xf numFmtId="0" fontId="19" fillId="39" borderId="11" xfId="0" applyFont="1" applyFill="1" applyBorder="1" applyAlignment="1">
      <alignment horizontal="left" vertical="center" indent="1"/>
    </xf>
    <xf numFmtId="164" fontId="8" fillId="38" borderId="18" xfId="0" applyNumberFormat="1" applyFont="1" applyFill="1" applyBorder="1" applyAlignment="1" applyProtection="1">
      <alignment horizontal="center"/>
      <protection locked="0"/>
    </xf>
    <xf numFmtId="176" fontId="8" fillId="38" borderId="18" xfId="0" applyNumberFormat="1" applyFont="1" applyFill="1" applyBorder="1" applyAlignment="1" applyProtection="1">
      <alignment horizontal="center"/>
      <protection locked="0"/>
    </xf>
    <xf numFmtId="0" fontId="37" fillId="12" borderId="28" xfId="1" applyFont="1" applyBorder="1" applyAlignment="1" applyProtection="1">
      <alignment horizontal="center"/>
      <protection locked="0"/>
    </xf>
    <xf numFmtId="164" fontId="8" fillId="38" borderId="28" xfId="0" applyNumberFormat="1" applyFont="1" applyFill="1" applyBorder="1" applyAlignment="1" applyProtection="1">
      <alignment horizontal="center"/>
      <protection locked="0"/>
    </xf>
    <xf numFmtId="167" fontId="8" fillId="40" borderId="11" xfId="0" applyNumberFormat="1" applyFont="1" applyFill="1" applyBorder="1" applyAlignment="1">
      <alignment horizontal="center" vertical="center"/>
    </xf>
    <xf numFmtId="0" fontId="15" fillId="65" borderId="11" xfId="0" applyFont="1" applyFill="1" applyBorder="1" applyAlignment="1">
      <alignment vertical="center"/>
    </xf>
    <xf numFmtId="0" fontId="11" fillId="65" borderId="11" xfId="0" applyFont="1" applyFill="1" applyBorder="1" applyAlignment="1">
      <alignment vertical="center"/>
    </xf>
    <xf numFmtId="0" fontId="11" fillId="65" borderId="11" xfId="0" applyFont="1" applyFill="1" applyBorder="1" applyAlignment="1">
      <alignment horizontal="center" vertical="center"/>
    </xf>
    <xf numFmtId="0" fontId="8" fillId="38" borderId="28" xfId="0" applyFont="1" applyFill="1" applyBorder="1" applyAlignment="1" applyProtection="1">
      <alignment horizontal="center" vertical="center"/>
      <protection locked="0"/>
    </xf>
    <xf numFmtId="1" fontId="8" fillId="7" borderId="28" xfId="0" applyNumberFormat="1" applyFont="1" applyFill="1" applyBorder="1" applyAlignment="1" applyProtection="1">
      <alignment horizontal="center" vertical="center"/>
      <protection locked="0"/>
    </xf>
    <xf numFmtId="166" fontId="8" fillId="40" borderId="11" xfId="0" applyNumberFormat="1" applyFont="1" applyFill="1" applyBorder="1" applyAlignment="1">
      <alignment horizontal="center" vertical="center"/>
    </xf>
    <xf numFmtId="0" fontId="8" fillId="40" borderId="11" xfId="0" applyFont="1" applyFill="1" applyBorder="1" applyAlignment="1">
      <alignment horizontal="center" vertical="center" textRotation="90"/>
    </xf>
    <xf numFmtId="4" fontId="9" fillId="40" borderId="11" xfId="0" applyNumberFormat="1" applyFont="1" applyFill="1" applyBorder="1" applyAlignment="1">
      <alignment horizontal="center" vertical="center"/>
    </xf>
    <xf numFmtId="171" fontId="8" fillId="40" borderId="11" xfId="5" applyNumberFormat="1" applyFont="1" applyFill="1" applyBorder="1" applyAlignment="1">
      <alignment horizontal="center" vertical="center"/>
    </xf>
    <xf numFmtId="0" fontId="4" fillId="29" borderId="11" xfId="0" applyFont="1" applyFill="1" applyBorder="1" applyAlignment="1">
      <alignment horizontal="center" vertical="center"/>
    </xf>
    <xf numFmtId="3" fontId="8" fillId="40" borderId="11" xfId="0" applyNumberFormat="1" applyFont="1" applyFill="1" applyBorder="1" applyAlignment="1">
      <alignment horizontal="center" vertical="center"/>
    </xf>
    <xf numFmtId="0" fontId="8" fillId="40" borderId="11" xfId="0" applyFont="1" applyFill="1" applyBorder="1" applyAlignment="1">
      <alignment horizontal="center" vertical="center" wrapText="1"/>
    </xf>
    <xf numFmtId="0" fontId="0" fillId="30" borderId="11" xfId="0" applyFill="1" applyBorder="1" applyAlignment="1">
      <alignment horizontal="center" vertical="center"/>
    </xf>
    <xf numFmtId="0" fontId="14" fillId="65" borderId="11" xfId="0" applyFont="1" applyFill="1" applyBorder="1" applyAlignment="1">
      <alignment horizontal="left" vertical="top"/>
    </xf>
    <xf numFmtId="0" fontId="47" fillId="39" borderId="11" xfId="0" applyFont="1" applyFill="1" applyBorder="1" applyAlignment="1">
      <alignment horizontal="left" vertical="top"/>
    </xf>
    <xf numFmtId="0" fontId="59" fillId="39" borderId="11" xfId="0" applyFont="1" applyFill="1" applyBorder="1" applyAlignment="1">
      <alignment horizontal="left" vertical="top"/>
    </xf>
    <xf numFmtId="0" fontId="14" fillId="65" borderId="89" xfId="0" applyFont="1" applyFill="1" applyBorder="1" applyAlignment="1">
      <alignment horizontal="left" vertical="center"/>
    </xf>
    <xf numFmtId="0" fontId="14" fillId="65" borderId="89" xfId="0" applyFont="1" applyFill="1" applyBorder="1" applyAlignment="1">
      <alignment horizontal="left" vertical="top"/>
    </xf>
    <xf numFmtId="0" fontId="4" fillId="29" borderId="1" xfId="0" applyFont="1" applyFill="1" applyBorder="1"/>
    <xf numFmtId="0" fontId="4" fillId="29" borderId="0" xfId="0" applyFont="1" applyFill="1"/>
    <xf numFmtId="0" fontId="4" fillId="29" borderId="1" xfId="0" applyFont="1" applyFill="1" applyBorder="1" applyAlignment="1">
      <alignment horizontal="center"/>
    </xf>
    <xf numFmtId="0" fontId="4" fillId="29" borderId="21" xfId="0" applyFont="1" applyFill="1" applyBorder="1"/>
    <xf numFmtId="9" fontId="11" fillId="29" borderId="11" xfId="5" applyFont="1" applyFill="1" applyBorder="1" applyAlignment="1">
      <alignment horizontal="center"/>
    </xf>
    <xf numFmtId="9" fontId="8" fillId="7" borderId="54" xfId="0" applyNumberFormat="1" applyFont="1" applyFill="1" applyBorder="1" applyAlignment="1" applyProtection="1">
      <alignment horizontal="center" vertical="center"/>
      <protection locked="0"/>
    </xf>
    <xf numFmtId="0" fontId="4" fillId="14" borderId="67" xfId="0" applyFont="1" applyFill="1" applyBorder="1" applyAlignment="1">
      <alignment horizontal="left" vertical="top" wrapText="1"/>
    </xf>
    <xf numFmtId="0" fontId="0" fillId="14" borderId="66" xfId="0" applyFill="1" applyBorder="1"/>
    <xf numFmtId="0" fontId="0" fillId="14" borderId="65" xfId="0" applyFill="1" applyBorder="1"/>
    <xf numFmtId="0" fontId="0" fillId="14" borderId="11" xfId="0" applyFill="1" applyBorder="1"/>
    <xf numFmtId="0" fontId="4" fillId="14" borderId="11" xfId="0" applyFont="1" applyFill="1" applyBorder="1"/>
    <xf numFmtId="0" fontId="4" fillId="14" borderId="66" xfId="0" applyFont="1" applyFill="1" applyBorder="1"/>
    <xf numFmtId="0" fontId="4" fillId="14" borderId="67" xfId="0" applyFont="1" applyFill="1" applyBorder="1"/>
    <xf numFmtId="0" fontId="4" fillId="19" borderId="43" xfId="6" applyFont="1" applyFill="1" applyBorder="1" applyAlignment="1">
      <alignment horizontal="center"/>
    </xf>
    <xf numFmtId="0" fontId="4" fillId="19" borderId="66" xfId="6" applyFont="1" applyFill="1" applyBorder="1" applyAlignment="1">
      <alignment horizontal="center"/>
    </xf>
    <xf numFmtId="0" fontId="4" fillId="19" borderId="67" xfId="6" applyFont="1" applyFill="1" applyBorder="1"/>
    <xf numFmtId="0" fontId="4" fillId="19" borderId="66" xfId="6" applyFont="1" applyFill="1" applyBorder="1" applyAlignment="1">
      <alignment horizontal="right"/>
    </xf>
    <xf numFmtId="0" fontId="4" fillId="19" borderId="48" xfId="6" applyFont="1" applyFill="1" applyBorder="1" applyAlignment="1">
      <alignment horizontal="center"/>
    </xf>
    <xf numFmtId="0" fontId="4" fillId="19" borderId="49" xfId="6" applyFont="1" applyFill="1" applyBorder="1"/>
    <xf numFmtId="0" fontId="5" fillId="11" borderId="38" xfId="6" applyFont="1" applyFill="1" applyBorder="1" applyAlignment="1">
      <alignment horizontal="left" indent="1"/>
    </xf>
    <xf numFmtId="0" fontId="5" fillId="11" borderId="68" xfId="6" applyFont="1" applyFill="1" applyBorder="1" applyAlignment="1">
      <alignment horizontal="left" indent="1"/>
    </xf>
    <xf numFmtId="0" fontId="5" fillId="11" borderId="68" xfId="6" applyFont="1" applyFill="1" applyBorder="1" applyAlignment="1">
      <alignment horizontal="left"/>
    </xf>
    <xf numFmtId="0" fontId="5" fillId="11" borderId="39" xfId="6" applyFont="1" applyFill="1" applyBorder="1" applyAlignment="1">
      <alignment horizontal="left"/>
    </xf>
    <xf numFmtId="0" fontId="0" fillId="14" borderId="43" xfId="0" applyFill="1" applyBorder="1"/>
    <xf numFmtId="0" fontId="4" fillId="14" borderId="11" xfId="0" applyFont="1" applyFill="1" applyBorder="1" applyAlignment="1">
      <alignment horizontal="center"/>
    </xf>
    <xf numFmtId="0" fontId="5" fillId="11" borderId="68" xfId="6" applyFont="1" applyFill="1" applyBorder="1" applyAlignment="1">
      <alignment horizontal="center"/>
    </xf>
    <xf numFmtId="0" fontId="0" fillId="14" borderId="65" xfId="0" applyFill="1" applyBorder="1" applyAlignment="1">
      <alignment horizontal="center"/>
    </xf>
    <xf numFmtId="0" fontId="6" fillId="19" borderId="11" xfId="0" applyFont="1" applyFill="1" applyBorder="1" applyAlignment="1">
      <alignment horizontal="left"/>
    </xf>
    <xf numFmtId="0" fontId="4" fillId="14" borderId="51" xfId="0" applyFont="1" applyFill="1" applyBorder="1"/>
    <xf numFmtId="0" fontId="4" fillId="14" borderId="50" xfId="0" applyFont="1" applyFill="1" applyBorder="1" applyAlignment="1">
      <alignment horizontal="center"/>
    </xf>
    <xf numFmtId="0" fontId="14" fillId="19" borderId="16" xfId="6" applyFont="1" applyFill="1" applyBorder="1" applyAlignment="1">
      <alignment horizontal="center"/>
    </xf>
    <xf numFmtId="0" fontId="0" fillId="14" borderId="11" xfId="0" applyFill="1" applyBorder="1" applyAlignment="1">
      <alignment horizontal="center"/>
    </xf>
    <xf numFmtId="0" fontId="0" fillId="14" borderId="67" xfId="0" applyFill="1" applyBorder="1"/>
    <xf numFmtId="0" fontId="0" fillId="14" borderId="50" xfId="0" applyFill="1" applyBorder="1"/>
    <xf numFmtId="0" fontId="0" fillId="14" borderId="43" xfId="0" applyFill="1" applyBorder="1" applyAlignment="1">
      <alignment horizontal="center"/>
    </xf>
    <xf numFmtId="0" fontId="0" fillId="14" borderId="51" xfId="0" applyFill="1" applyBorder="1"/>
    <xf numFmtId="0" fontId="4" fillId="24" borderId="67" xfId="0" applyFont="1" applyFill="1" applyBorder="1"/>
    <xf numFmtId="0" fontId="4" fillId="24" borderId="66" xfId="0" applyFont="1" applyFill="1" applyBorder="1"/>
    <xf numFmtId="0" fontId="8" fillId="30" borderId="11" xfId="0" applyFont="1" applyFill="1" applyBorder="1" applyAlignment="1">
      <alignment horizontal="left"/>
    </xf>
    <xf numFmtId="0" fontId="8" fillId="29" borderId="11" xfId="0" applyFont="1" applyFill="1" applyBorder="1"/>
    <xf numFmtId="0" fontId="8" fillId="62" borderId="28" xfId="0" applyFont="1" applyFill="1" applyBorder="1" applyAlignment="1" applyProtection="1">
      <alignment horizontal="right" indent="1"/>
      <protection locked="0"/>
    </xf>
    <xf numFmtId="9" fontId="13" fillId="61" borderId="54" xfId="5" applyFont="1" applyFill="1" applyBorder="1" applyAlignment="1" applyProtection="1">
      <alignment horizontal="center" vertical="center"/>
    </xf>
    <xf numFmtId="4" fontId="8" fillId="7" borderId="74" xfId="0" applyNumberFormat="1" applyFont="1" applyFill="1" applyBorder="1" applyAlignment="1" applyProtection="1">
      <alignment horizontal="center" vertical="center"/>
      <protection locked="0"/>
    </xf>
    <xf numFmtId="4" fontId="8" fillId="7" borderId="28" xfId="0" applyNumberFormat="1" applyFont="1" applyFill="1" applyBorder="1" applyAlignment="1" applyProtection="1">
      <alignment horizontal="center" vertical="center"/>
      <protection locked="0"/>
    </xf>
    <xf numFmtId="0" fontId="8" fillId="7" borderId="4" xfId="0" applyFont="1" applyFill="1" applyBorder="1" applyAlignment="1" applyProtection="1">
      <alignment horizontal="center"/>
      <protection locked="0"/>
    </xf>
    <xf numFmtId="0" fontId="53" fillId="60" borderId="11" xfId="1" applyNumberFormat="1" applyFont="1" applyFill="1" applyBorder="1" applyAlignment="1" applyProtection="1">
      <alignment horizontal="left"/>
    </xf>
    <xf numFmtId="0" fontId="30" fillId="41" borderId="11" xfId="3" applyFont="1" applyFill="1" applyBorder="1" applyAlignment="1" applyProtection="1">
      <alignment horizontal="left" vertical="center"/>
    </xf>
    <xf numFmtId="3" fontId="9" fillId="38" borderId="28" xfId="5" applyNumberFormat="1" applyFont="1" applyFill="1" applyBorder="1" applyAlignment="1" applyProtection="1">
      <alignment horizontal="center"/>
      <protection locked="0"/>
    </xf>
    <xf numFmtId="166" fontId="9" fillId="61" borderId="11" xfId="5" applyNumberFormat="1" applyFont="1" applyFill="1" applyBorder="1" applyAlignment="1" applyProtection="1">
      <alignment horizontal="center"/>
    </xf>
    <xf numFmtId="0" fontId="41" fillId="41" borderId="11" xfId="3" applyNumberFormat="1" applyFont="1" applyFill="1" applyBorder="1" applyAlignment="1" applyProtection="1">
      <alignment horizontal="center"/>
    </xf>
    <xf numFmtId="4" fontId="14" fillId="59" borderId="68" xfId="0" applyNumberFormat="1" applyFont="1" applyFill="1" applyBorder="1" applyAlignment="1">
      <alignment horizontal="center" vertical="center" wrapText="1"/>
    </xf>
    <xf numFmtId="4" fontId="14" fillId="24" borderId="68" xfId="0" applyNumberFormat="1" applyFont="1" applyFill="1" applyBorder="1" applyAlignment="1">
      <alignment horizontal="center" vertical="center" wrapText="1"/>
    </xf>
    <xf numFmtId="4" fontId="14" fillId="24" borderId="68" xfId="0" applyNumberFormat="1" applyFont="1" applyFill="1" applyBorder="1" applyAlignment="1">
      <alignment horizontal="center" vertical="center"/>
    </xf>
    <xf numFmtId="4" fontId="14" fillId="59" borderId="68" xfId="0" applyNumberFormat="1" applyFont="1" applyFill="1" applyBorder="1" applyAlignment="1">
      <alignment horizontal="center" vertical="center"/>
    </xf>
    <xf numFmtId="4" fontId="8" fillId="14" borderId="0" xfId="0" applyNumberFormat="1" applyFont="1" applyFill="1" applyAlignment="1">
      <alignment horizontal="center"/>
    </xf>
    <xf numFmtId="4" fontId="9" fillId="24" borderId="11" xfId="0" applyNumberFormat="1" applyFont="1" applyFill="1" applyBorder="1" applyAlignment="1">
      <alignment horizontal="center"/>
    </xf>
    <xf numFmtId="3" fontId="14" fillId="14" borderId="68" xfId="0" applyNumberFormat="1" applyFont="1" applyFill="1" applyBorder="1" applyAlignment="1">
      <alignment horizontal="center" vertical="center" wrapText="1"/>
    </xf>
    <xf numFmtId="3" fontId="14" fillId="24" borderId="68" xfId="0" applyNumberFormat="1" applyFont="1" applyFill="1" applyBorder="1" applyAlignment="1">
      <alignment horizontal="center" vertical="center"/>
    </xf>
    <xf numFmtId="171" fontId="8" fillId="41" borderId="11" xfId="2" applyNumberFormat="1" applyFont="1" applyFill="1" applyBorder="1" applyAlignment="1" applyProtection="1">
      <alignment horizontal="center"/>
    </xf>
    <xf numFmtId="3" fontId="8" fillId="38" borderId="18" xfId="0" applyNumberFormat="1" applyFont="1" applyFill="1" applyBorder="1" applyAlignment="1" applyProtection="1">
      <alignment horizontal="center"/>
      <protection locked="0"/>
    </xf>
    <xf numFmtId="3" fontId="8" fillId="7" borderId="28" xfId="0" applyNumberFormat="1" applyFont="1" applyFill="1" applyBorder="1" applyAlignment="1" applyProtection="1">
      <alignment horizontal="center"/>
      <protection locked="0"/>
    </xf>
    <xf numFmtId="166" fontId="13" fillId="6" borderId="54" xfId="5" applyNumberFormat="1" applyFont="1" applyFill="1" applyBorder="1" applyAlignment="1" applyProtection="1">
      <alignment horizontal="center" vertical="center"/>
    </xf>
    <xf numFmtId="170" fontId="8" fillId="7" borderId="28" xfId="0" applyNumberFormat="1" applyFont="1" applyFill="1" applyBorder="1" applyAlignment="1" applyProtection="1">
      <alignment horizontal="center" vertical="center"/>
      <protection locked="0"/>
    </xf>
    <xf numFmtId="4" fontId="14" fillId="61" borderId="54" xfId="5" applyNumberFormat="1" applyFont="1" applyFill="1" applyBorder="1" applyAlignment="1" applyProtection="1">
      <alignment horizontal="center"/>
    </xf>
    <xf numFmtId="0" fontId="4" fillId="29" borderId="11" xfId="0" applyFont="1" applyFill="1" applyBorder="1"/>
    <xf numFmtId="3" fontId="9" fillId="38" borderId="74" xfId="5" applyNumberFormat="1" applyFont="1" applyFill="1" applyBorder="1" applyAlignment="1" applyProtection="1">
      <alignment horizontal="center"/>
      <protection locked="0"/>
    </xf>
    <xf numFmtId="166" fontId="8" fillId="41" borderId="11" xfId="5" applyNumberFormat="1" applyFont="1" applyFill="1" applyBorder="1" applyAlignment="1" applyProtection="1">
      <alignment horizontal="center" vertical="center"/>
    </xf>
    <xf numFmtId="0" fontId="63" fillId="60" borderId="67" xfId="1" applyFont="1" applyFill="1" applyBorder="1" applyAlignment="1" applyProtection="1">
      <alignment horizontal="center" vertical="center" wrapText="1"/>
    </xf>
    <xf numFmtId="0" fontId="18" fillId="30" borderId="11" xfId="0" applyFont="1" applyFill="1" applyBorder="1"/>
    <xf numFmtId="0" fontId="63" fillId="77" borderId="67" xfId="1" applyFont="1" applyFill="1" applyBorder="1" applyAlignment="1" applyProtection="1">
      <alignment horizontal="center" vertical="center" wrapText="1"/>
    </xf>
    <xf numFmtId="3" fontId="8" fillId="7" borderId="74" xfId="0" applyNumberFormat="1" applyFont="1" applyFill="1" applyBorder="1" applyAlignment="1" applyProtection="1">
      <alignment horizontal="center" vertical="center"/>
      <protection locked="0"/>
    </xf>
    <xf numFmtId="0" fontId="15" fillId="11" borderId="11" xfId="0" applyFont="1" applyFill="1" applyBorder="1" applyAlignment="1">
      <alignment horizontal="center" vertical="center"/>
    </xf>
    <xf numFmtId="171" fontId="8" fillId="3" borderId="11" xfId="0" applyNumberFormat="1" applyFont="1" applyFill="1" applyBorder="1" applyAlignment="1">
      <alignment horizontal="center" vertical="center"/>
    </xf>
    <xf numFmtId="171" fontId="9" fillId="3" borderId="11" xfId="0" applyNumberFormat="1" applyFont="1" applyFill="1" applyBorder="1" applyAlignment="1">
      <alignment horizontal="center" vertical="center"/>
    </xf>
    <xf numFmtId="165" fontId="8" fillId="7" borderId="28" xfId="0" applyNumberFormat="1" applyFont="1" applyFill="1" applyBorder="1" applyAlignment="1" applyProtection="1">
      <alignment horizontal="center"/>
      <protection locked="0"/>
    </xf>
    <xf numFmtId="0" fontId="3" fillId="2" borderId="12" xfId="0" applyFont="1" applyFill="1" applyBorder="1" applyAlignment="1">
      <alignment horizontal="center" vertical="center"/>
    </xf>
    <xf numFmtId="0" fontId="0" fillId="3" borderId="11" xfId="0" applyFill="1" applyBorder="1"/>
    <xf numFmtId="0" fontId="4" fillId="3" borderId="1" xfId="0" applyFont="1" applyFill="1" applyBorder="1"/>
    <xf numFmtId="0" fontId="4" fillId="3" borderId="1" xfId="0" applyFont="1" applyFill="1" applyBorder="1" applyAlignment="1">
      <alignment horizontal="center"/>
    </xf>
    <xf numFmtId="0" fontId="4" fillId="3" borderId="11" xfId="0" applyFont="1" applyFill="1" applyBorder="1" applyAlignment="1">
      <alignment horizontal="center"/>
    </xf>
    <xf numFmtId="0" fontId="4" fillId="3" borderId="11" xfId="0" applyFont="1" applyFill="1" applyBorder="1"/>
    <xf numFmtId="0" fontId="4" fillId="30" borderId="11" xfId="0" applyFont="1" applyFill="1" applyBorder="1"/>
    <xf numFmtId="0" fontId="0" fillId="3" borderId="11" xfId="0" applyFill="1" applyBorder="1" applyAlignment="1">
      <alignment horizontal="left" vertical="center"/>
    </xf>
    <xf numFmtId="0" fontId="4" fillId="3" borderId="79" xfId="0" applyFont="1" applyFill="1" applyBorder="1"/>
    <xf numFmtId="0" fontId="6" fillId="3" borderId="79" xfId="0" applyFont="1" applyFill="1" applyBorder="1"/>
    <xf numFmtId="0" fontId="7" fillId="3" borderId="37" xfId="0" applyFont="1" applyFill="1" applyBorder="1"/>
    <xf numFmtId="0" fontId="4" fillId="30" borderId="37" xfId="0" applyFont="1" applyFill="1" applyBorder="1"/>
    <xf numFmtId="0" fontId="7" fillId="3" borderId="37" xfId="0" applyFont="1" applyFill="1" applyBorder="1" applyAlignment="1">
      <alignment horizontal="left" vertical="center"/>
    </xf>
    <xf numFmtId="0" fontId="7" fillId="3" borderId="37" xfId="0" applyFont="1" applyFill="1" applyBorder="1" applyAlignment="1">
      <alignment horizontal="center" vertical="center"/>
    </xf>
    <xf numFmtId="0" fontId="0" fillId="3" borderId="37" xfId="0" applyFill="1" applyBorder="1" applyAlignment="1">
      <alignment horizontal="left" vertical="center"/>
    </xf>
    <xf numFmtId="0" fontId="4" fillId="3" borderId="27" xfId="0" applyFont="1" applyFill="1" applyBorder="1"/>
    <xf numFmtId="0" fontId="9" fillId="3" borderId="2" xfId="0" applyFont="1" applyFill="1" applyBorder="1"/>
    <xf numFmtId="0" fontId="15" fillId="39" borderId="50" xfId="0" applyFont="1" applyFill="1" applyBorder="1" applyAlignment="1">
      <alignment vertical="center"/>
    </xf>
    <xf numFmtId="0" fontId="0" fillId="68" borderId="43" xfId="0" applyFill="1" applyBorder="1"/>
    <xf numFmtId="0" fontId="11" fillId="39" borderId="43" xfId="0" applyFont="1" applyFill="1" applyBorder="1" applyAlignment="1">
      <alignment horizontal="center" vertical="center"/>
    </xf>
    <xf numFmtId="0" fontId="11" fillId="39" borderId="43" xfId="0" applyFont="1" applyFill="1" applyBorder="1" applyAlignment="1">
      <alignment vertical="center"/>
    </xf>
    <xf numFmtId="0" fontId="11" fillId="39" borderId="51" xfId="0" applyFont="1" applyFill="1" applyBorder="1" applyAlignment="1">
      <alignment vertical="center"/>
    </xf>
    <xf numFmtId="0" fontId="15" fillId="39" borderId="43" xfId="0" applyFont="1" applyFill="1" applyBorder="1" applyAlignment="1">
      <alignment vertical="center"/>
    </xf>
    <xf numFmtId="0" fontId="15" fillId="39" borderId="91" xfId="0" applyFont="1" applyFill="1" applyBorder="1" applyAlignment="1">
      <alignment vertical="center"/>
    </xf>
    <xf numFmtId="0" fontId="15" fillId="39" borderId="92" xfId="0" applyFont="1" applyFill="1" applyBorder="1" applyAlignment="1">
      <alignment vertical="center"/>
    </xf>
    <xf numFmtId="0" fontId="9" fillId="3" borderId="20" xfId="0" applyFont="1" applyFill="1" applyBorder="1"/>
    <xf numFmtId="0" fontId="9" fillId="43" borderId="48" xfId="0" applyFont="1" applyFill="1" applyBorder="1"/>
    <xf numFmtId="0" fontId="0" fillId="42" borderId="65" xfId="0" applyFill="1" applyBorder="1"/>
    <xf numFmtId="0" fontId="0" fillId="42" borderId="65" xfId="0" applyFill="1" applyBorder="1" applyAlignment="1">
      <alignment horizontal="center"/>
    </xf>
    <xf numFmtId="0" fontId="0" fillId="42" borderId="49" xfId="0" applyFill="1" applyBorder="1"/>
    <xf numFmtId="0" fontId="9" fillId="30" borderId="75" xfId="0" applyFont="1" applyFill="1" applyBorder="1"/>
    <xf numFmtId="0" fontId="8" fillId="41" borderId="48" xfId="0" applyFont="1" applyFill="1" applyBorder="1" applyAlignment="1">
      <alignment horizontal="left" vertical="center"/>
    </xf>
    <xf numFmtId="0" fontId="8" fillId="41" borderId="65" xfId="0" applyFont="1" applyFill="1" applyBorder="1" applyAlignment="1">
      <alignment horizontal="left" vertical="center"/>
    </xf>
    <xf numFmtId="3" fontId="14" fillId="41" borderId="28" xfId="0" applyNumberFormat="1" applyFont="1" applyFill="1" applyBorder="1" applyAlignment="1">
      <alignment horizontal="center" vertical="center"/>
    </xf>
    <xf numFmtId="0" fontId="8" fillId="41" borderId="65" xfId="0" applyFont="1" applyFill="1" applyBorder="1" applyAlignment="1">
      <alignment horizontal="left" vertical="center" indent="1"/>
    </xf>
    <xf numFmtId="0" fontId="8" fillId="41" borderId="67" xfId="0" applyFont="1" applyFill="1" applyBorder="1" applyAlignment="1">
      <alignment horizontal="left" vertical="center"/>
    </xf>
    <xf numFmtId="0" fontId="9" fillId="43" borderId="66" xfId="0" applyFont="1" applyFill="1" applyBorder="1"/>
    <xf numFmtId="0" fontId="8" fillId="41" borderId="19" xfId="0" applyFont="1" applyFill="1" applyBorder="1" applyAlignment="1">
      <alignment horizontal="right" indent="1"/>
    </xf>
    <xf numFmtId="0" fontId="8" fillId="61" borderId="11" xfId="0" applyFont="1" applyFill="1" applyBorder="1" applyAlignment="1">
      <alignment horizontal="right"/>
    </xf>
    <xf numFmtId="0" fontId="8" fillId="41" borderId="11" xfId="0" applyFont="1" applyFill="1" applyBorder="1" applyAlignment="1">
      <alignment horizontal="right"/>
    </xf>
    <xf numFmtId="0" fontId="8" fillId="41" borderId="11" xfId="0" applyFont="1" applyFill="1" applyBorder="1" applyAlignment="1">
      <alignment horizontal="center"/>
    </xf>
    <xf numFmtId="0" fontId="8" fillId="41" borderId="67" xfId="0" applyFont="1" applyFill="1" applyBorder="1" applyAlignment="1">
      <alignment horizontal="right"/>
    </xf>
    <xf numFmtId="0" fontId="8" fillId="41" borderId="50" xfId="0" applyFont="1" applyFill="1" applyBorder="1" applyAlignment="1">
      <alignment horizontal="left" vertical="center"/>
    </xf>
    <xf numFmtId="0" fontId="8" fillId="41" borderId="43" xfId="0" applyFont="1" applyFill="1" applyBorder="1" applyAlignment="1">
      <alignment horizontal="left" vertical="center"/>
    </xf>
    <xf numFmtId="3" fontId="13" fillId="41" borderId="28" xfId="0" applyNumberFormat="1" applyFont="1" applyFill="1" applyBorder="1" applyAlignment="1">
      <alignment horizontal="center" vertical="center"/>
    </xf>
    <xf numFmtId="0" fontId="8" fillId="41" borderId="43" xfId="0" applyFont="1" applyFill="1" applyBorder="1" applyAlignment="1">
      <alignment horizontal="left" vertical="center" indent="1"/>
    </xf>
    <xf numFmtId="0" fontId="8" fillId="41" borderId="51" xfId="0" applyFont="1" applyFill="1" applyBorder="1" applyAlignment="1">
      <alignment horizontal="left" vertical="center"/>
    </xf>
    <xf numFmtId="0" fontId="8" fillId="41" borderId="11" xfId="0" applyFont="1" applyFill="1" applyBorder="1" applyAlignment="1">
      <alignment horizontal="right" indent="1"/>
    </xf>
    <xf numFmtId="0" fontId="0" fillId="29" borderId="11" xfId="0" applyFill="1" applyBorder="1" applyAlignment="1">
      <alignment horizontal="left" vertical="center"/>
    </xf>
    <xf numFmtId="0" fontId="0" fillId="29" borderId="11" xfId="0" applyFill="1" applyBorder="1" applyAlignment="1">
      <alignment horizontal="center" vertical="center"/>
    </xf>
    <xf numFmtId="0" fontId="0" fillId="29" borderId="11" xfId="0" applyFill="1" applyBorder="1" applyAlignment="1">
      <alignment horizontal="left" vertical="center" indent="1"/>
    </xf>
    <xf numFmtId="0" fontId="0" fillId="30" borderId="11" xfId="0" applyFill="1" applyBorder="1" applyAlignment="1">
      <alignment horizontal="left" vertical="center"/>
    </xf>
    <xf numFmtId="0" fontId="15" fillId="39" borderId="38" xfId="0" applyFont="1" applyFill="1" applyBorder="1" applyAlignment="1">
      <alignment vertical="center"/>
    </xf>
    <xf numFmtId="0" fontId="15" fillId="39" borderId="68" xfId="0" applyFont="1" applyFill="1" applyBorder="1" applyAlignment="1">
      <alignment vertical="center"/>
    </xf>
    <xf numFmtId="0" fontId="15" fillId="39" borderId="68" xfId="0" applyFont="1" applyFill="1" applyBorder="1" applyAlignment="1">
      <alignment horizontal="left" vertical="center" indent="1"/>
    </xf>
    <xf numFmtId="0" fontId="15" fillId="39" borderId="39" xfId="0" applyFont="1" applyFill="1" applyBorder="1" applyAlignment="1">
      <alignment vertical="center"/>
    </xf>
    <xf numFmtId="167" fontId="8" fillId="41" borderId="48" xfId="0" applyNumberFormat="1" applyFont="1" applyFill="1" applyBorder="1" applyAlignment="1">
      <alignment horizontal="left" vertical="center"/>
    </xf>
    <xf numFmtId="167" fontId="8" fillId="41" borderId="65" xfId="0" applyNumberFormat="1" applyFont="1" applyFill="1" applyBorder="1" applyAlignment="1">
      <alignment horizontal="left" vertical="center"/>
    </xf>
    <xf numFmtId="9" fontId="8" fillId="41" borderId="66" xfId="0" applyNumberFormat="1" applyFont="1" applyFill="1" applyBorder="1" applyAlignment="1">
      <alignment horizontal="left" vertical="center"/>
    </xf>
    <xf numFmtId="9" fontId="8" fillId="41" borderId="11" xfId="0" applyNumberFormat="1" applyFont="1" applyFill="1" applyBorder="1" applyAlignment="1">
      <alignment horizontal="left" vertical="center"/>
    </xf>
    <xf numFmtId="170" fontId="13" fillId="41" borderId="28" xfId="0" applyNumberFormat="1" applyFont="1" applyFill="1" applyBorder="1" applyAlignment="1">
      <alignment horizontal="center" vertical="center"/>
    </xf>
    <xf numFmtId="0" fontId="43" fillId="41" borderId="11" xfId="0" applyFont="1" applyFill="1" applyBorder="1" applyAlignment="1">
      <alignment horizontal="left" vertical="center"/>
    </xf>
    <xf numFmtId="0" fontId="43" fillId="41" borderId="67" xfId="0" applyFont="1" applyFill="1" applyBorder="1" applyAlignment="1">
      <alignment horizontal="left" vertical="center"/>
    </xf>
    <xf numFmtId="0" fontId="9" fillId="43" borderId="75" xfId="0" applyFont="1" applyFill="1" applyBorder="1" applyAlignment="1">
      <alignment horizontal="left" vertical="center"/>
    </xf>
    <xf numFmtId="1" fontId="8" fillId="41" borderId="50" xfId="0" applyNumberFormat="1" applyFont="1" applyFill="1" applyBorder="1" applyAlignment="1">
      <alignment horizontal="left" vertical="center"/>
    </xf>
    <xf numFmtId="1" fontId="8" fillId="41" borderId="43" xfId="0" applyNumberFormat="1" applyFont="1" applyFill="1" applyBorder="1" applyAlignment="1">
      <alignment horizontal="left" vertical="center"/>
    </xf>
    <xf numFmtId="0" fontId="41" fillId="41" borderId="11" xfId="3" applyFont="1" applyFill="1" applyBorder="1" applyAlignment="1" applyProtection="1">
      <alignment horizontal="left"/>
    </xf>
    <xf numFmtId="0" fontId="28" fillId="41" borderId="11" xfId="3" applyFill="1" applyBorder="1" applyAlignment="1" applyProtection="1">
      <alignment horizontal="center"/>
    </xf>
    <xf numFmtId="0" fontId="9" fillId="30" borderId="11" xfId="0" applyFont="1" applyFill="1" applyBorder="1" applyAlignment="1">
      <alignment horizontal="left" indent="1"/>
    </xf>
    <xf numFmtId="0" fontId="9" fillId="30" borderId="68" xfId="0" applyFont="1" applyFill="1" applyBorder="1"/>
    <xf numFmtId="0" fontId="0" fillId="42" borderId="11" xfId="0" applyFill="1" applyBorder="1"/>
    <xf numFmtId="0" fontId="0" fillId="42" borderId="73" xfId="0" applyFill="1" applyBorder="1" applyAlignment="1">
      <alignment horizontal="center"/>
    </xf>
    <xf numFmtId="0" fontId="0" fillId="42" borderId="11" xfId="0" applyFill="1" applyBorder="1" applyAlignment="1">
      <alignment horizontal="center"/>
    </xf>
    <xf numFmtId="0" fontId="0" fillId="42" borderId="67" xfId="0" applyFill="1" applyBorder="1"/>
    <xf numFmtId="9" fontId="8" fillId="41" borderId="48" xfId="0" applyNumberFormat="1" applyFont="1" applyFill="1" applyBorder="1" applyAlignment="1">
      <alignment horizontal="left" vertical="center"/>
    </xf>
    <xf numFmtId="9" fontId="8" fillId="41" borderId="65" xfId="0" applyNumberFormat="1" applyFont="1" applyFill="1" applyBorder="1" applyAlignment="1">
      <alignment horizontal="left" vertical="center"/>
    </xf>
    <xf numFmtId="3" fontId="8" fillId="41" borderId="28" xfId="0" applyNumberFormat="1" applyFont="1" applyFill="1" applyBorder="1" applyAlignment="1">
      <alignment horizontal="center" vertical="center"/>
    </xf>
    <xf numFmtId="0" fontId="8" fillId="41" borderId="49" xfId="0" applyFont="1" applyFill="1" applyBorder="1" applyAlignment="1">
      <alignment horizontal="left" vertical="center"/>
    </xf>
    <xf numFmtId="0" fontId="8" fillId="61" borderId="66" xfId="0" applyFont="1" applyFill="1" applyBorder="1" applyAlignment="1">
      <alignment horizontal="right"/>
    </xf>
    <xf numFmtId="166" fontId="8" fillId="41" borderId="66" xfId="0" applyNumberFormat="1" applyFont="1" applyFill="1" applyBorder="1" applyAlignment="1">
      <alignment horizontal="left" vertical="center"/>
    </xf>
    <xf numFmtId="166" fontId="8" fillId="41" borderId="11" xfId="0" applyNumberFormat="1" applyFont="1" applyFill="1" applyBorder="1" applyAlignment="1">
      <alignment horizontal="left" vertical="center"/>
    </xf>
    <xf numFmtId="0" fontId="4" fillId="43" borderId="65" xfId="0" applyFont="1" applyFill="1" applyBorder="1"/>
    <xf numFmtId="0" fontId="4" fillId="43" borderId="68" xfId="0" applyFont="1" applyFill="1" applyBorder="1" applyAlignment="1">
      <alignment horizontal="center"/>
    </xf>
    <xf numFmtId="0" fontId="4" fillId="43" borderId="11" xfId="0" applyFont="1" applyFill="1" applyBorder="1"/>
    <xf numFmtId="0" fontId="4" fillId="43" borderId="11" xfId="0" applyFont="1" applyFill="1" applyBorder="1" applyAlignment="1">
      <alignment horizontal="center"/>
    </xf>
    <xf numFmtId="0" fontId="4" fillId="43" borderId="67" xfId="0" applyFont="1" applyFill="1" applyBorder="1"/>
    <xf numFmtId="9" fontId="8" fillId="41" borderId="50" xfId="0" applyNumberFormat="1" applyFont="1" applyFill="1" applyBorder="1" applyAlignment="1">
      <alignment horizontal="left" vertical="center"/>
    </xf>
    <xf numFmtId="9" fontId="8" fillId="41" borderId="43" xfId="0" applyNumberFormat="1" applyFont="1" applyFill="1" applyBorder="1" applyAlignment="1">
      <alignment horizontal="left" vertical="center"/>
    </xf>
    <xf numFmtId="0" fontId="27" fillId="29" borderId="11" xfId="0" applyFont="1" applyFill="1" applyBorder="1" applyAlignment="1">
      <alignment horizontal="center" vertical="center"/>
    </xf>
    <xf numFmtId="0" fontId="0" fillId="30" borderId="43" xfId="0" applyFill="1" applyBorder="1" applyAlignment="1">
      <alignment horizontal="left" vertical="center"/>
    </xf>
    <xf numFmtId="0" fontId="4" fillId="3" borderId="25" xfId="0" applyFont="1" applyFill="1" applyBorder="1"/>
    <xf numFmtId="0" fontId="11" fillId="39" borderId="68" xfId="0" applyFont="1" applyFill="1" applyBorder="1" applyAlignment="1">
      <alignment vertical="center"/>
    </xf>
    <xf numFmtId="0" fontId="4" fillId="3" borderId="20" xfId="0" applyFont="1" applyFill="1" applyBorder="1"/>
    <xf numFmtId="0" fontId="9" fillId="3" borderId="52" xfId="0" applyFont="1" applyFill="1" applyBorder="1"/>
    <xf numFmtId="0" fontId="8" fillId="41" borderId="11" xfId="0" applyFont="1" applyFill="1" applyBorder="1" applyAlignment="1">
      <alignment horizontal="left" indent="1"/>
    </xf>
    <xf numFmtId="0" fontId="8" fillId="41" borderId="67" xfId="0" applyFont="1" applyFill="1" applyBorder="1" applyAlignment="1">
      <alignment horizontal="left"/>
    </xf>
    <xf numFmtId="0" fontId="9" fillId="43" borderId="49" xfId="0" applyFont="1" applyFill="1" applyBorder="1" applyAlignment="1">
      <alignment horizontal="left" vertical="center"/>
    </xf>
    <xf numFmtId="0" fontId="4" fillId="43" borderId="66" xfId="0" applyFont="1" applyFill="1" applyBorder="1"/>
    <xf numFmtId="9" fontId="8" fillId="41" borderId="67" xfId="0" applyNumberFormat="1" applyFont="1" applyFill="1" applyBorder="1" applyAlignment="1">
      <alignment horizontal="left" vertical="center"/>
    </xf>
    <xf numFmtId="0" fontId="8" fillId="41" borderId="66" xfId="0" applyFont="1" applyFill="1" applyBorder="1" applyAlignment="1">
      <alignment horizontal="left" vertical="center" indent="1"/>
    </xf>
    <xf numFmtId="0" fontId="8" fillId="41" borderId="11" xfId="0" applyFont="1" applyFill="1" applyBorder="1" applyAlignment="1">
      <alignment horizontal="left" vertical="center"/>
    </xf>
    <xf numFmtId="0" fontId="14" fillId="30" borderId="40" xfId="0" applyFont="1" applyFill="1" applyBorder="1" applyAlignment="1">
      <alignment horizontal="left"/>
    </xf>
    <xf numFmtId="0" fontId="9" fillId="30" borderId="41" xfId="0" applyFont="1" applyFill="1" applyBorder="1" applyAlignment="1">
      <alignment horizontal="left"/>
    </xf>
    <xf numFmtId="0" fontId="4" fillId="30" borderId="41" xfId="0" applyFont="1" applyFill="1" applyBorder="1"/>
    <xf numFmtId="0" fontId="9" fillId="41" borderId="11" xfId="0" applyFont="1" applyFill="1" applyBorder="1" applyAlignment="1">
      <alignment horizontal="right" indent="1"/>
    </xf>
    <xf numFmtId="0" fontId="9" fillId="7" borderId="2" xfId="0" applyFont="1" applyFill="1" applyBorder="1" applyAlignment="1">
      <alignment horizontal="center" vertical="center"/>
    </xf>
    <xf numFmtId="0" fontId="9" fillId="3" borderId="11" xfId="0" applyFont="1" applyFill="1" applyBorder="1" applyAlignment="1">
      <alignment horizontal="center" vertical="center"/>
    </xf>
    <xf numFmtId="0" fontId="9" fillId="4" borderId="70" xfId="0" applyFont="1" applyFill="1" applyBorder="1" applyAlignment="1">
      <alignment horizontal="center" vertical="center"/>
    </xf>
    <xf numFmtId="0" fontId="8" fillId="41" borderId="11" xfId="0" applyFont="1" applyFill="1" applyBorder="1" applyAlignment="1">
      <alignment horizontal="left"/>
    </xf>
    <xf numFmtId="0" fontId="9" fillId="30" borderId="67" xfId="0" applyFont="1" applyFill="1" applyBorder="1"/>
    <xf numFmtId="0" fontId="9" fillId="30" borderId="20" xfId="0" applyFont="1" applyFill="1" applyBorder="1" applyAlignment="1">
      <alignment horizontal="center"/>
    </xf>
    <xf numFmtId="0" fontId="9" fillId="43" borderId="50" xfId="0" applyFont="1" applyFill="1" applyBorder="1"/>
    <xf numFmtId="0" fontId="0" fillId="42" borderId="43" xfId="0" applyFill="1" applyBorder="1"/>
    <xf numFmtId="0" fontId="0" fillId="42" borderId="43" xfId="0" applyFill="1" applyBorder="1" applyAlignment="1">
      <alignment horizontal="center"/>
    </xf>
    <xf numFmtId="0" fontId="0" fillId="42" borderId="51" xfId="0" applyFill="1" applyBorder="1"/>
    <xf numFmtId="0" fontId="9" fillId="3" borderId="11" xfId="0" applyFont="1" applyFill="1" applyBorder="1"/>
    <xf numFmtId="0" fontId="0" fillId="30" borderId="68" xfId="0" applyFill="1" applyBorder="1" applyAlignment="1">
      <alignment horizontal="left" vertical="center"/>
    </xf>
    <xf numFmtId="0" fontId="0" fillId="68" borderId="68" xfId="0" applyFill="1" applyBorder="1"/>
    <xf numFmtId="0" fontId="11" fillId="39" borderId="68" xfId="0" applyFont="1" applyFill="1" applyBorder="1" applyAlignment="1">
      <alignment horizontal="center" vertical="center"/>
    </xf>
    <xf numFmtId="0" fontId="11" fillId="39" borderId="39" xfId="0" applyFont="1" applyFill="1" applyBorder="1" applyAlignment="1">
      <alignment vertical="center"/>
    </xf>
    <xf numFmtId="0" fontId="4" fillId="30" borderId="1" xfId="0" applyFont="1" applyFill="1" applyBorder="1"/>
    <xf numFmtId="0" fontId="14" fillId="3" borderId="40" xfId="0" applyFont="1" applyFill="1" applyBorder="1" applyAlignment="1">
      <alignment horizontal="left"/>
    </xf>
    <xf numFmtId="0" fontId="9" fillId="3" borderId="41" xfId="0" applyFont="1" applyFill="1" applyBorder="1" applyAlignment="1">
      <alignment horizontal="left"/>
    </xf>
    <xf numFmtId="0" fontId="4" fillId="3" borderId="41" xfId="0" applyFont="1" applyFill="1" applyBorder="1"/>
    <xf numFmtId="0" fontId="9" fillId="30" borderId="20" xfId="0" applyFont="1" applyFill="1" applyBorder="1"/>
    <xf numFmtId="0" fontId="8" fillId="41" borderId="65" xfId="0" applyFont="1" applyFill="1" applyBorder="1" applyAlignment="1">
      <alignment horizontal="left"/>
    </xf>
    <xf numFmtId="0" fontId="8" fillId="41" borderId="65" xfId="0" applyFont="1" applyFill="1" applyBorder="1" applyAlignment="1">
      <alignment horizontal="center"/>
    </xf>
    <xf numFmtId="0" fontId="8" fillId="41" borderId="49" xfId="0" applyFont="1" applyFill="1" applyBorder="1" applyAlignment="1">
      <alignment horizontal="left"/>
    </xf>
    <xf numFmtId="2" fontId="9" fillId="45" borderId="48" xfId="0" applyNumberFormat="1" applyFont="1" applyFill="1" applyBorder="1" applyAlignment="1">
      <alignment horizontal="left" vertical="center"/>
    </xf>
    <xf numFmtId="2" fontId="9" fillId="45" borderId="65" xfId="0" applyNumberFormat="1" applyFont="1" applyFill="1" applyBorder="1" applyAlignment="1">
      <alignment horizontal="left" vertical="center"/>
    </xf>
    <xf numFmtId="2" fontId="9" fillId="45" borderId="65" xfId="0" applyNumberFormat="1" applyFont="1" applyFill="1" applyBorder="1" applyAlignment="1">
      <alignment horizontal="left" vertical="center" indent="1"/>
    </xf>
    <xf numFmtId="0" fontId="43" fillId="41" borderId="65" xfId="0" applyFont="1" applyFill="1" applyBorder="1" applyAlignment="1">
      <alignment horizontal="left" vertical="center"/>
    </xf>
    <xf numFmtId="0" fontId="43" fillId="41" borderId="49" xfId="0" applyFont="1" applyFill="1" applyBorder="1" applyAlignment="1">
      <alignment horizontal="left" vertical="center"/>
    </xf>
    <xf numFmtId="0" fontId="7" fillId="29" borderId="0" xfId="0" applyFont="1" applyFill="1"/>
    <xf numFmtId="0" fontId="9" fillId="30" borderId="23" xfId="0" applyFont="1" applyFill="1" applyBorder="1" applyAlignment="1">
      <alignment horizontal="left"/>
    </xf>
    <xf numFmtId="0" fontId="9" fillId="30" borderId="11" xfId="0" applyFont="1" applyFill="1" applyBorder="1" applyAlignment="1">
      <alignment horizontal="left"/>
    </xf>
    <xf numFmtId="0" fontId="4" fillId="30" borderId="44" xfId="0" applyFont="1" applyFill="1" applyBorder="1"/>
    <xf numFmtId="0" fontId="13" fillId="41" borderId="43" xfId="0" applyFont="1" applyFill="1" applyBorder="1" applyAlignment="1">
      <alignment horizontal="left"/>
    </xf>
    <xf numFmtId="0" fontId="13" fillId="41" borderId="11" xfId="0" applyFont="1" applyFill="1" applyBorder="1" applyAlignment="1">
      <alignment horizontal="center"/>
    </xf>
    <xf numFmtId="0" fontId="13" fillId="41" borderId="43" xfId="0" applyFont="1" applyFill="1" applyBorder="1" applyAlignment="1">
      <alignment horizontal="center"/>
    </xf>
    <xf numFmtId="2" fontId="9" fillId="45" borderId="50" xfId="0" applyNumberFormat="1" applyFont="1" applyFill="1" applyBorder="1" applyAlignment="1">
      <alignment horizontal="left" vertical="center"/>
    </xf>
    <xf numFmtId="2" fontId="9" fillId="45" borderId="43" xfId="0" applyNumberFormat="1" applyFont="1" applyFill="1" applyBorder="1" applyAlignment="1">
      <alignment horizontal="left" vertical="center"/>
    </xf>
    <xf numFmtId="2" fontId="9" fillId="45" borderId="43" xfId="0" applyNumberFormat="1" applyFont="1" applyFill="1" applyBorder="1" applyAlignment="1">
      <alignment horizontal="left" vertical="center" indent="1"/>
    </xf>
    <xf numFmtId="0" fontId="9" fillId="43" borderId="51" xfId="0" applyFont="1" applyFill="1" applyBorder="1" applyAlignment="1">
      <alignment horizontal="left" vertical="center"/>
    </xf>
    <xf numFmtId="0" fontId="15" fillId="2" borderId="28" xfId="0" applyFont="1" applyFill="1" applyBorder="1" applyAlignment="1">
      <alignment horizontal="center" vertical="center"/>
    </xf>
    <xf numFmtId="0" fontId="9" fillId="3" borderId="11" xfId="0" applyFont="1" applyFill="1" applyBorder="1" applyAlignment="1">
      <alignment horizontal="center"/>
    </xf>
    <xf numFmtId="0" fontId="15" fillId="39" borderId="28" xfId="0" applyFont="1" applyFill="1" applyBorder="1" applyAlignment="1">
      <alignment horizontal="center" vertical="center"/>
    </xf>
    <xf numFmtId="0" fontId="0" fillId="29" borderId="0" xfId="0" applyFill="1" applyAlignment="1">
      <alignment horizontal="left" vertical="center"/>
    </xf>
    <xf numFmtId="0" fontId="0" fillId="29" borderId="0" xfId="0" applyFill="1" applyAlignment="1">
      <alignment horizontal="center" vertical="center"/>
    </xf>
    <xf numFmtId="0" fontId="0" fillId="0" borderId="11" xfId="0" applyBorder="1"/>
    <xf numFmtId="4" fontId="8" fillId="6" borderId="28" xfId="0" applyNumberFormat="1" applyFont="1" applyFill="1" applyBorder="1" applyAlignment="1">
      <alignment horizontal="center"/>
    </xf>
    <xf numFmtId="4" fontId="8" fillId="41" borderId="28" xfId="0" applyNumberFormat="1" applyFont="1" applyFill="1" applyBorder="1" applyAlignment="1">
      <alignment horizontal="center"/>
    </xf>
    <xf numFmtId="0" fontId="15" fillId="66" borderId="38" xfId="0" applyFont="1" applyFill="1" applyBorder="1" applyAlignment="1">
      <alignment vertical="center"/>
    </xf>
    <xf numFmtId="0" fontId="15" fillId="66" borderId="68" xfId="0" applyFont="1" applyFill="1" applyBorder="1" applyAlignment="1">
      <alignment vertical="center"/>
    </xf>
    <xf numFmtId="0" fontId="15" fillId="66" borderId="39" xfId="0" applyFont="1" applyFill="1" applyBorder="1" applyAlignment="1">
      <alignment vertical="center"/>
    </xf>
    <xf numFmtId="2" fontId="9" fillId="27" borderId="48" xfId="0" applyNumberFormat="1" applyFont="1" applyFill="1" applyBorder="1" applyAlignment="1">
      <alignment horizontal="left" vertical="center"/>
    </xf>
    <xf numFmtId="2" fontId="9" fillId="27" borderId="65" xfId="0" applyNumberFormat="1" applyFont="1" applyFill="1" applyBorder="1" applyAlignment="1">
      <alignment horizontal="left" vertical="center"/>
    </xf>
    <xf numFmtId="4" fontId="9" fillId="27" borderId="65" xfId="0" applyNumberFormat="1" applyFont="1" applyFill="1" applyBorder="1" applyAlignment="1">
      <alignment horizontal="center" vertical="center"/>
    </xf>
    <xf numFmtId="0" fontId="43" fillId="6" borderId="65" xfId="0" applyFont="1" applyFill="1" applyBorder="1" applyAlignment="1">
      <alignment horizontal="left" vertical="center"/>
    </xf>
    <xf numFmtId="0" fontId="43" fillId="6" borderId="49" xfId="0" applyFont="1" applyFill="1" applyBorder="1" applyAlignment="1">
      <alignment horizontal="left" vertical="center"/>
    </xf>
    <xf numFmtId="2" fontId="9" fillId="27" borderId="66" xfId="0" applyNumberFormat="1" applyFont="1" applyFill="1" applyBorder="1" applyAlignment="1">
      <alignment horizontal="left" vertical="center"/>
    </xf>
    <xf numFmtId="2" fontId="44" fillId="27" borderId="43" xfId="0" applyNumberFormat="1" applyFont="1" applyFill="1" applyBorder="1" applyAlignment="1">
      <alignment horizontal="left" vertical="center"/>
    </xf>
    <xf numFmtId="4" fontId="9" fillId="27" borderId="43" xfId="0" applyNumberFormat="1" applyFont="1" applyFill="1" applyBorder="1" applyAlignment="1">
      <alignment horizontal="center" vertical="center"/>
    </xf>
    <xf numFmtId="2" fontId="9" fillId="27" borderId="43" xfId="0" applyNumberFormat="1" applyFont="1" applyFill="1" applyBorder="1" applyAlignment="1">
      <alignment horizontal="left" vertical="center"/>
    </xf>
    <xf numFmtId="0" fontId="43" fillId="6" borderId="43" xfId="0" applyFont="1" applyFill="1" applyBorder="1" applyAlignment="1">
      <alignment horizontal="left" vertical="center"/>
    </xf>
    <xf numFmtId="0" fontId="43" fillId="6" borderId="67" xfId="0" applyFont="1" applyFill="1" applyBorder="1" applyAlignment="1">
      <alignment horizontal="left" vertical="center"/>
    </xf>
    <xf numFmtId="0" fontId="9" fillId="23" borderId="67" xfId="0" applyFont="1" applyFill="1" applyBorder="1" applyAlignment="1">
      <alignment horizontal="left" vertical="center"/>
    </xf>
    <xf numFmtId="2" fontId="9" fillId="27" borderId="50" xfId="0" applyNumberFormat="1" applyFont="1" applyFill="1" applyBorder="1" applyAlignment="1">
      <alignment horizontal="left" vertical="center"/>
    </xf>
    <xf numFmtId="0" fontId="9" fillId="23" borderId="43" xfId="0" applyFont="1" applyFill="1" applyBorder="1" applyAlignment="1">
      <alignment horizontal="center" vertical="center"/>
    </xf>
    <xf numFmtId="2" fontId="9" fillId="27" borderId="68" xfId="0" applyNumberFormat="1" applyFont="1" applyFill="1" applyBorder="1" applyAlignment="1">
      <alignment horizontal="left" vertical="center"/>
    </xf>
    <xf numFmtId="0" fontId="9" fillId="23" borderId="43" xfId="0" applyFont="1" applyFill="1" applyBorder="1" applyAlignment="1">
      <alignment horizontal="left" vertical="center"/>
    </xf>
    <xf numFmtId="0" fontId="9" fillId="23" borderId="51" xfId="0" applyFont="1" applyFill="1" applyBorder="1" applyAlignment="1">
      <alignment horizontal="left" vertical="center"/>
    </xf>
    <xf numFmtId="0" fontId="38" fillId="41" borderId="11" xfId="0" applyFont="1" applyFill="1" applyBorder="1" applyAlignment="1">
      <alignment horizontal="center"/>
    </xf>
    <xf numFmtId="0" fontId="38" fillId="41" borderId="11" xfId="0" applyFont="1" applyFill="1" applyBorder="1" applyAlignment="1">
      <alignment horizontal="right"/>
    </xf>
    <xf numFmtId="9" fontId="8" fillId="41" borderId="11" xfId="0" applyNumberFormat="1" applyFont="1" applyFill="1" applyBorder="1" applyAlignment="1">
      <alignment horizontal="center"/>
    </xf>
    <xf numFmtId="3" fontId="8" fillId="61" borderId="16" xfId="0" applyNumberFormat="1" applyFont="1" applyFill="1" applyBorder="1" applyAlignment="1">
      <alignment horizontal="center"/>
    </xf>
    <xf numFmtId="0" fontId="9" fillId="30" borderId="66" xfId="0" applyFont="1" applyFill="1" applyBorder="1"/>
    <xf numFmtId="0" fontId="8" fillId="41" borderId="67" xfId="0" applyFont="1" applyFill="1" applyBorder="1" applyAlignment="1">
      <alignment horizontal="right" indent="1"/>
    </xf>
    <xf numFmtId="4" fontId="8" fillId="41" borderId="65" xfId="0" applyNumberFormat="1" applyFont="1" applyFill="1" applyBorder="1" applyAlignment="1">
      <alignment horizontal="center"/>
    </xf>
    <xf numFmtId="0" fontId="9" fillId="30" borderId="47" xfId="0" applyFont="1" applyFill="1" applyBorder="1"/>
    <xf numFmtId="0" fontId="4" fillId="3" borderId="1" xfId="0" applyFont="1" applyFill="1" applyBorder="1" applyAlignment="1">
      <alignment horizontal="left" vertical="center"/>
    </xf>
    <xf numFmtId="0" fontId="4" fillId="3" borderId="1" xfId="0" applyFont="1" applyFill="1" applyBorder="1" applyAlignment="1">
      <alignment horizontal="center" vertical="center"/>
    </xf>
    <xf numFmtId="0" fontId="4" fillId="3" borderId="11" xfId="0" applyFont="1" applyFill="1" applyBorder="1" applyAlignment="1">
      <alignment horizontal="left" vertical="center"/>
    </xf>
    <xf numFmtId="0" fontId="4" fillId="43" borderId="50" xfId="0" applyFont="1" applyFill="1" applyBorder="1"/>
    <xf numFmtId="0" fontId="4" fillId="43" borderId="43" xfId="0" applyFont="1" applyFill="1" applyBorder="1"/>
    <xf numFmtId="0" fontId="4" fillId="43" borderId="43" xfId="0" applyFont="1" applyFill="1" applyBorder="1" applyAlignment="1">
      <alignment horizontal="center"/>
    </xf>
    <xf numFmtId="0" fontId="4" fillId="43" borderId="51" xfId="0" applyFont="1" applyFill="1" applyBorder="1"/>
    <xf numFmtId="0" fontId="9" fillId="30" borderId="21" xfId="0" applyFont="1" applyFill="1" applyBorder="1"/>
    <xf numFmtId="0" fontId="4" fillId="3" borderId="27" xfId="0" applyFont="1" applyFill="1" applyBorder="1" applyAlignment="1">
      <alignment horizontal="center"/>
    </xf>
    <xf numFmtId="0" fontId="9" fillId="30" borderId="93" xfId="0" applyFont="1" applyFill="1" applyBorder="1"/>
    <xf numFmtId="0" fontId="4" fillId="43" borderId="48" xfId="0" applyFont="1" applyFill="1" applyBorder="1"/>
    <xf numFmtId="3" fontId="8" fillId="41" borderId="11" xfId="0" applyNumberFormat="1" applyFont="1" applyFill="1" applyBorder="1" applyAlignment="1">
      <alignment horizontal="center"/>
    </xf>
    <xf numFmtId="0" fontId="4" fillId="30" borderId="93" xfId="0" applyFont="1" applyFill="1" applyBorder="1"/>
    <xf numFmtId="0" fontId="8" fillId="41" borderId="43" xfId="0" applyFont="1" applyFill="1" applyBorder="1" applyAlignment="1">
      <alignment horizontal="left"/>
    </xf>
    <xf numFmtId="0" fontId="8" fillId="41" borderId="43" xfId="0" applyFont="1" applyFill="1" applyBorder="1" applyAlignment="1">
      <alignment horizontal="center"/>
    </xf>
    <xf numFmtId="0" fontId="8" fillId="41" borderId="51" xfId="0" applyFont="1" applyFill="1" applyBorder="1" applyAlignment="1">
      <alignment horizontal="left"/>
    </xf>
    <xf numFmtId="0" fontId="4" fillId="30" borderId="1" xfId="0" applyFont="1" applyFill="1" applyBorder="1" applyAlignment="1">
      <alignment horizontal="left" vertical="center"/>
    </xf>
    <xf numFmtId="0" fontId="4" fillId="30" borderId="21" xfId="0" applyFont="1" applyFill="1" applyBorder="1"/>
    <xf numFmtId="0" fontId="4" fillId="29" borderId="20" xfId="0" applyFont="1" applyFill="1" applyBorder="1"/>
    <xf numFmtId="0" fontId="4" fillId="42" borderId="50" xfId="0" applyFont="1" applyFill="1" applyBorder="1"/>
    <xf numFmtId="0" fontId="8" fillId="41" borderId="43" xfId="0" applyFont="1" applyFill="1" applyBorder="1" applyAlignment="1">
      <alignment horizontal="right"/>
    </xf>
    <xf numFmtId="0" fontId="8" fillId="41" borderId="51" xfId="0" applyFont="1" applyFill="1" applyBorder="1" applyAlignment="1">
      <alignment horizontal="right"/>
    </xf>
    <xf numFmtId="0" fontId="4" fillId="30" borderId="1" xfId="0" applyFont="1" applyFill="1" applyBorder="1" applyAlignment="1">
      <alignment horizontal="center"/>
    </xf>
    <xf numFmtId="0" fontId="0" fillId="0" borderId="0" xfId="0" applyAlignment="1">
      <alignment horizontal="left" vertical="center"/>
    </xf>
    <xf numFmtId="0" fontId="0" fillId="0" borderId="0" xfId="0" applyAlignment="1">
      <alignment horizontal="center" vertical="center"/>
    </xf>
    <xf numFmtId="0" fontId="0" fillId="0" borderId="0" xfId="0" applyAlignment="1">
      <alignment horizontal="center"/>
    </xf>
    <xf numFmtId="0" fontId="36" fillId="2" borderId="12" xfId="0" applyFont="1" applyFill="1" applyBorder="1" applyAlignment="1">
      <alignment vertical="center"/>
    </xf>
    <xf numFmtId="0" fontId="0" fillId="0" borderId="46" xfId="0" applyBorder="1"/>
    <xf numFmtId="0" fontId="0" fillId="0" borderId="61" xfId="0" applyBorder="1"/>
    <xf numFmtId="0" fontId="0" fillId="29" borderId="46" xfId="0" applyFill="1" applyBorder="1"/>
    <xf numFmtId="0" fontId="27" fillId="3" borderId="37" xfId="0" applyFont="1" applyFill="1" applyBorder="1"/>
    <xf numFmtId="0" fontId="27" fillId="0" borderId="37" xfId="0" applyFont="1" applyBorder="1"/>
    <xf numFmtId="0" fontId="8" fillId="25" borderId="11" xfId="0" applyFont="1" applyFill="1" applyBorder="1"/>
    <xf numFmtId="0" fontId="0" fillId="25" borderId="11" xfId="0" applyFill="1" applyBorder="1"/>
    <xf numFmtId="0" fontId="10" fillId="25" borderId="11" xfId="0" applyFont="1" applyFill="1" applyBorder="1"/>
    <xf numFmtId="0" fontId="10" fillId="30" borderId="67" xfId="0" applyFont="1" applyFill="1" applyBorder="1"/>
    <xf numFmtId="0" fontId="0" fillId="3" borderId="11" xfId="0" applyFill="1" applyBorder="1" applyAlignment="1">
      <alignment wrapText="1"/>
    </xf>
    <xf numFmtId="0" fontId="0" fillId="3" borderId="56" xfId="0" applyFill="1" applyBorder="1"/>
    <xf numFmtId="0" fontId="8" fillId="30" borderId="67" xfId="0" applyFont="1" applyFill="1" applyBorder="1" applyAlignment="1">
      <alignment horizontal="left" wrapText="1"/>
    </xf>
    <xf numFmtId="0" fontId="8" fillId="23" borderId="48" xfId="0" applyFont="1" applyFill="1" applyBorder="1" applyAlignment="1">
      <alignment horizontal="left" wrapText="1"/>
    </xf>
    <xf numFmtId="0" fontId="0" fillId="6" borderId="73" xfId="0" applyFill="1" applyBorder="1"/>
    <xf numFmtId="0" fontId="0" fillId="6" borderId="65" xfId="0" applyFill="1" applyBorder="1"/>
    <xf numFmtId="0" fontId="0" fillId="6" borderId="49" xfId="0" applyFill="1" applyBorder="1"/>
    <xf numFmtId="0" fontId="0" fillId="29" borderId="84" xfId="0" applyFill="1" applyBorder="1"/>
    <xf numFmtId="0" fontId="0" fillId="29" borderId="53" xfId="0" applyFill="1" applyBorder="1"/>
    <xf numFmtId="0" fontId="8" fillId="23" borderId="11" xfId="0" applyFont="1" applyFill="1" applyBorder="1" applyAlignment="1">
      <alignment horizontal="left" wrapText="1"/>
    </xf>
    <xf numFmtId="0" fontId="0" fillId="23" borderId="67" xfId="0" applyFill="1" applyBorder="1" applyAlignment="1">
      <alignment wrapText="1"/>
    </xf>
    <xf numFmtId="0" fontId="10" fillId="3" borderId="11" xfId="0" applyFont="1" applyFill="1" applyBorder="1"/>
    <xf numFmtId="0" fontId="10" fillId="3" borderId="59" xfId="0" applyFont="1" applyFill="1" applyBorder="1"/>
    <xf numFmtId="0" fontId="10" fillId="3" borderId="67" xfId="0" applyFont="1" applyFill="1" applyBorder="1"/>
    <xf numFmtId="0" fontId="10" fillId="23" borderId="11" xfId="0" applyFont="1" applyFill="1" applyBorder="1"/>
    <xf numFmtId="0" fontId="0" fillId="23" borderId="67" xfId="0" applyFill="1" applyBorder="1"/>
    <xf numFmtId="0" fontId="0" fillId="0" borderId="56" xfId="0" applyBorder="1"/>
    <xf numFmtId="0" fontId="7" fillId="33" borderId="59" xfId="0" applyFont="1" applyFill="1" applyBorder="1" applyAlignment="1">
      <alignment horizontal="center" vertical="center"/>
    </xf>
    <xf numFmtId="0" fontId="0" fillId="0" borderId="59" xfId="0" applyBorder="1"/>
    <xf numFmtId="0" fontId="0" fillId="0" borderId="53" xfId="0" applyBorder="1"/>
    <xf numFmtId="0" fontId="0" fillId="0" borderId="85" xfId="0" applyBorder="1"/>
    <xf numFmtId="0" fontId="0" fillId="21" borderId="11" xfId="0" applyFill="1" applyBorder="1"/>
    <xf numFmtId="0" fontId="0" fillId="21" borderId="75" xfId="0" applyFill="1" applyBorder="1"/>
    <xf numFmtId="0" fontId="0" fillId="0" borderId="58" xfId="0" applyBorder="1"/>
    <xf numFmtId="0" fontId="7" fillId="33" borderId="0" xfId="0" applyFont="1" applyFill="1" applyAlignment="1">
      <alignment horizontal="center" vertical="center"/>
    </xf>
    <xf numFmtId="0" fontId="0" fillId="0" borderId="60" xfId="0" applyBorder="1"/>
    <xf numFmtId="0" fontId="0" fillId="0" borderId="86" xfId="0" applyBorder="1"/>
    <xf numFmtId="0" fontId="0" fillId="21" borderId="50" xfId="0" applyFill="1" applyBorder="1"/>
    <xf numFmtId="0" fontId="0" fillId="6" borderId="69" xfId="0" applyFill="1" applyBorder="1"/>
    <xf numFmtId="0" fontId="0" fillId="6" borderId="43" xfId="0" applyFill="1" applyBorder="1"/>
    <xf numFmtId="0" fontId="0" fillId="6" borderId="51" xfId="0" applyFill="1" applyBorder="1"/>
    <xf numFmtId="0" fontId="8" fillId="0" borderId="0" xfId="0" applyFont="1" applyAlignment="1">
      <alignment horizontal="center" vertical="center" wrapText="1"/>
    </xf>
    <xf numFmtId="0" fontId="7" fillId="33" borderId="55" xfId="0" applyFont="1" applyFill="1" applyBorder="1" applyAlignment="1">
      <alignment horizontal="center" vertical="center"/>
    </xf>
    <xf numFmtId="0" fontId="7" fillId="29" borderId="56" xfId="0" applyFont="1" applyFill="1" applyBorder="1" applyAlignment="1">
      <alignment horizontal="center" vertical="center"/>
    </xf>
    <xf numFmtId="0" fontId="0" fillId="0" borderId="80" xfId="0" applyBorder="1"/>
    <xf numFmtId="0" fontId="0" fillId="0" borderId="55" xfId="0" applyBorder="1"/>
    <xf numFmtId="0" fontId="0" fillId="0" borderId="81" xfId="0" applyBorder="1"/>
    <xf numFmtId="0" fontId="0" fillId="0" borderId="57" xfId="0" applyBorder="1"/>
    <xf numFmtId="0" fontId="27" fillId="29" borderId="53" xfId="0" applyFont="1" applyFill="1" applyBorder="1" applyAlignment="1">
      <alignment vertical="center"/>
    </xf>
    <xf numFmtId="0" fontId="7" fillId="33" borderId="11" xfId="0" applyFont="1" applyFill="1" applyBorder="1" applyAlignment="1">
      <alignment horizontal="center" vertical="center"/>
    </xf>
    <xf numFmtId="0" fontId="9" fillId="0" borderId="0" xfId="0" applyFont="1" applyAlignment="1">
      <alignment horizontal="center" vertical="center" wrapText="1"/>
    </xf>
    <xf numFmtId="0" fontId="7" fillId="29" borderId="63" xfId="0" applyFont="1" applyFill="1" applyBorder="1" applyAlignment="1">
      <alignment horizontal="center" vertical="center"/>
    </xf>
    <xf numFmtId="0" fontId="15" fillId="2" borderId="68" xfId="0" applyFont="1" applyFill="1" applyBorder="1" applyAlignment="1">
      <alignment vertical="center"/>
    </xf>
    <xf numFmtId="0" fontId="15" fillId="2" borderId="39" xfId="0" applyFont="1" applyFill="1" applyBorder="1" applyAlignment="1">
      <alignment vertical="center"/>
    </xf>
    <xf numFmtId="0" fontId="8" fillId="0" borderId="0" xfId="0" applyFont="1"/>
    <xf numFmtId="0" fontId="8" fillId="3" borderId="11" xfId="0" applyFont="1" applyFill="1" applyBorder="1" applyAlignment="1">
      <alignment horizontal="center"/>
    </xf>
    <xf numFmtId="0" fontId="8" fillId="3" borderId="37" xfId="0" applyFont="1" applyFill="1" applyBorder="1"/>
    <xf numFmtId="0" fontId="13" fillId="3" borderId="37" xfId="0" applyFont="1" applyFill="1" applyBorder="1"/>
    <xf numFmtId="0" fontId="8" fillId="3" borderId="37" xfId="0" applyFont="1" applyFill="1" applyBorder="1" applyAlignment="1">
      <alignment horizontal="center"/>
    </xf>
    <xf numFmtId="0" fontId="8" fillId="0" borderId="37" xfId="0" applyFont="1" applyBorder="1"/>
    <xf numFmtId="0" fontId="13" fillId="5" borderId="11" xfId="0" applyFont="1" applyFill="1" applyBorder="1"/>
    <xf numFmtId="0" fontId="12" fillId="5" borderId="11" xfId="0" applyFont="1" applyFill="1" applyBorder="1"/>
    <xf numFmtId="0" fontId="8" fillId="5" borderId="11" xfId="0" applyFont="1" applyFill="1" applyBorder="1"/>
    <xf numFmtId="0" fontId="8" fillId="0" borderId="11" xfId="0" applyFont="1" applyBorder="1"/>
    <xf numFmtId="0" fontId="8" fillId="35" borderId="11" xfId="0" applyFont="1" applyFill="1" applyBorder="1" applyAlignment="1">
      <alignment vertical="top" wrapText="1"/>
    </xf>
    <xf numFmtId="0" fontId="8" fillId="41" borderId="48" xfId="0" applyFont="1" applyFill="1" applyBorder="1"/>
    <xf numFmtId="0" fontId="8" fillId="41" borderId="65" xfId="0" applyFont="1" applyFill="1" applyBorder="1"/>
    <xf numFmtId="0" fontId="8" fillId="41" borderId="49" xfId="0" applyFont="1" applyFill="1" applyBorder="1"/>
    <xf numFmtId="0" fontId="8" fillId="5" borderId="65" xfId="0" applyFont="1" applyFill="1" applyBorder="1" applyAlignment="1">
      <alignment horizontal="left"/>
    </xf>
    <xf numFmtId="0" fontId="8" fillId="5" borderId="65" xfId="0" applyFont="1" applyFill="1" applyBorder="1"/>
    <xf numFmtId="0" fontId="8" fillId="42" borderId="66" xfId="0" applyFont="1" applyFill="1" applyBorder="1"/>
    <xf numFmtId="3" fontId="8" fillId="61" borderId="11" xfId="0" applyNumberFormat="1" applyFont="1" applyFill="1" applyBorder="1" applyAlignment="1">
      <alignment horizontal="center" vertical="center"/>
    </xf>
    <xf numFmtId="0" fontId="8" fillId="41" borderId="67" xfId="0" applyFont="1" applyFill="1" applyBorder="1"/>
    <xf numFmtId="0" fontId="8" fillId="5" borderId="11" xfId="0" applyFont="1" applyFill="1" applyBorder="1" applyAlignment="1">
      <alignment horizontal="left"/>
    </xf>
    <xf numFmtId="165" fontId="8" fillId="41" borderId="11" xfId="2" applyNumberFormat="1" applyFont="1" applyFill="1" applyBorder="1" applyAlignment="1" applyProtection="1">
      <alignment horizontal="center"/>
    </xf>
    <xf numFmtId="0" fontId="57" fillId="41" borderId="11" xfId="0" applyFont="1" applyFill="1" applyBorder="1" applyAlignment="1">
      <alignment vertical="top" wrapText="1"/>
    </xf>
    <xf numFmtId="0" fontId="8" fillId="41" borderId="11" xfId="0" applyFont="1" applyFill="1" applyBorder="1"/>
    <xf numFmtId="0" fontId="13" fillId="41" borderId="11" xfId="0" applyFont="1" applyFill="1" applyBorder="1" applyAlignment="1">
      <alignment horizontal="right" indent="1"/>
    </xf>
    <xf numFmtId="0" fontId="8" fillId="41" borderId="50" xfId="0" applyFont="1" applyFill="1" applyBorder="1"/>
    <xf numFmtId="0" fontId="8" fillId="41" borderId="43" xfId="0" applyFont="1" applyFill="1" applyBorder="1"/>
    <xf numFmtId="0" fontId="8" fillId="41" borderId="51" xfId="0" applyFont="1" applyFill="1" applyBorder="1"/>
    <xf numFmtId="0" fontId="15" fillId="2" borderId="38" xfId="0" applyFont="1" applyFill="1" applyBorder="1" applyAlignment="1">
      <alignment vertical="center"/>
    </xf>
    <xf numFmtId="0" fontId="8" fillId="6" borderId="48" xfId="0" applyFont="1" applyFill="1" applyBorder="1"/>
    <xf numFmtId="0" fontId="8" fillId="6" borderId="65" xfId="0" applyFont="1" applyFill="1" applyBorder="1"/>
    <xf numFmtId="0" fontId="8" fillId="6" borderId="65" xfId="0" applyFont="1" applyFill="1" applyBorder="1" applyAlignment="1">
      <alignment horizontal="center"/>
    </xf>
    <xf numFmtId="0" fontId="8" fillId="6" borderId="49" xfId="0" applyFont="1" applyFill="1" applyBorder="1"/>
    <xf numFmtId="0" fontId="8" fillId="21" borderId="66" xfId="0" applyFont="1" applyFill="1" applyBorder="1"/>
    <xf numFmtId="0" fontId="8" fillId="6" borderId="11" xfId="0" applyFont="1" applyFill="1" applyBorder="1" applyAlignment="1">
      <alignment horizontal="right" indent="1"/>
    </xf>
    <xf numFmtId="0" fontId="8" fillId="6" borderId="11" xfId="0" applyFont="1" applyFill="1" applyBorder="1"/>
    <xf numFmtId="0" fontId="8" fillId="6" borderId="67" xfId="0" applyFont="1" applyFill="1" applyBorder="1"/>
    <xf numFmtId="0" fontId="8" fillId="6" borderId="50" xfId="0" applyFont="1" applyFill="1" applyBorder="1" applyAlignment="1">
      <alignment horizontal="right"/>
    </xf>
    <xf numFmtId="0" fontId="8" fillId="6" borderId="43" xfId="0" applyFont="1" applyFill="1" applyBorder="1" applyAlignment="1">
      <alignment horizontal="right"/>
    </xf>
    <xf numFmtId="0" fontId="8" fillId="6" borderId="43" xfId="0" applyFont="1" applyFill="1" applyBorder="1" applyAlignment="1">
      <alignment horizontal="center"/>
    </xf>
    <xf numFmtId="0" fontId="8" fillId="6" borderId="43" xfId="0" applyFont="1" applyFill="1" applyBorder="1"/>
    <xf numFmtId="0" fontId="8" fillId="6" borderId="51" xfId="0" applyFont="1" applyFill="1" applyBorder="1"/>
    <xf numFmtId="0" fontId="8" fillId="5" borderId="43" xfId="0" applyFont="1" applyFill="1" applyBorder="1"/>
    <xf numFmtId="0" fontId="13" fillId="5" borderId="16" xfId="0" applyFont="1" applyFill="1" applyBorder="1"/>
    <xf numFmtId="0" fontId="8" fillId="6" borderId="66" xfId="0" applyFont="1" applyFill="1" applyBorder="1"/>
    <xf numFmtId="0" fontId="13" fillId="6" borderId="43" xfId="0" applyFont="1" applyFill="1" applyBorder="1"/>
    <xf numFmtId="0" fontId="13" fillId="6" borderId="43" xfId="0" applyFont="1" applyFill="1" applyBorder="1" applyAlignment="1">
      <alignment horizontal="center" vertical="center"/>
    </xf>
    <xf numFmtId="2" fontId="8" fillId="5" borderId="11" xfId="0" applyNumberFormat="1" applyFont="1" applyFill="1" applyBorder="1"/>
    <xf numFmtId="0" fontId="8" fillId="6" borderId="11" xfId="0" applyFont="1" applyFill="1" applyBorder="1" applyAlignment="1">
      <alignment horizontal="center" vertical="center"/>
    </xf>
    <xf numFmtId="9" fontId="8" fillId="6" borderId="11" xfId="0" applyNumberFormat="1" applyFont="1" applyFill="1" applyBorder="1" applyAlignment="1">
      <alignment horizontal="center"/>
    </xf>
    <xf numFmtId="9" fontId="8" fillId="5" borderId="11" xfId="0" applyNumberFormat="1" applyFont="1" applyFill="1" applyBorder="1"/>
    <xf numFmtId="0" fontId="8" fillId="6" borderId="11" xfId="0" applyFont="1" applyFill="1" applyBorder="1" applyAlignment="1">
      <alignment horizontal="center"/>
    </xf>
    <xf numFmtId="0" fontId="8" fillId="6" borderId="16" xfId="0" applyFont="1" applyFill="1" applyBorder="1" applyAlignment="1">
      <alignment horizontal="right" indent="1"/>
    </xf>
    <xf numFmtId="2" fontId="8" fillId="6" borderId="11" xfId="0" applyNumberFormat="1" applyFont="1" applyFill="1" applyBorder="1" applyAlignment="1">
      <alignment horizontal="center"/>
    </xf>
    <xf numFmtId="2" fontId="8" fillId="6" borderId="16" xfId="0" applyNumberFormat="1" applyFont="1" applyFill="1" applyBorder="1" applyAlignment="1">
      <alignment horizontal="center"/>
    </xf>
    <xf numFmtId="0" fontId="13" fillId="6" borderId="11" xfId="0" applyFont="1" applyFill="1" applyBorder="1" applyAlignment="1">
      <alignment horizontal="right" indent="1"/>
    </xf>
    <xf numFmtId="3" fontId="13" fillId="6" borderId="5" xfId="0" applyNumberFormat="1" applyFont="1" applyFill="1" applyBorder="1" applyAlignment="1">
      <alignment horizontal="center"/>
    </xf>
    <xf numFmtId="37" fontId="8" fillId="6" borderId="11" xfId="0" applyNumberFormat="1" applyFont="1" applyFill="1" applyBorder="1" applyAlignment="1">
      <alignment horizontal="center"/>
    </xf>
    <xf numFmtId="3" fontId="13" fillId="6" borderId="7" xfId="0" applyNumberFormat="1" applyFont="1" applyFill="1" applyBorder="1" applyAlignment="1">
      <alignment horizontal="center"/>
    </xf>
    <xf numFmtId="0" fontId="13" fillId="6" borderId="11" xfId="0" applyFont="1" applyFill="1" applyBorder="1" applyAlignment="1">
      <alignment horizontal="center"/>
    </xf>
    <xf numFmtId="166" fontId="13" fillId="6" borderId="54" xfId="0" applyNumberFormat="1" applyFont="1" applyFill="1" applyBorder="1" applyAlignment="1">
      <alignment horizontal="center"/>
    </xf>
    <xf numFmtId="0" fontId="8" fillId="6" borderId="50" xfId="0" applyFont="1" applyFill="1" applyBorder="1"/>
    <xf numFmtId="0" fontId="8" fillId="0" borderId="0" xfId="0" applyFont="1" applyAlignment="1">
      <alignment horizontal="center"/>
    </xf>
    <xf numFmtId="0" fontId="15" fillId="2" borderId="11" xfId="0" applyFont="1" applyFill="1" applyBorder="1" applyAlignment="1">
      <alignment horizontal="left" vertical="center"/>
    </xf>
    <xf numFmtId="0" fontId="11" fillId="2" borderId="11" xfId="0" applyFont="1" applyFill="1" applyBorder="1" applyAlignment="1">
      <alignment horizontal="center"/>
    </xf>
    <xf numFmtId="0" fontId="11" fillId="2" borderId="11" xfId="0" applyFont="1" applyFill="1" applyBorder="1"/>
    <xf numFmtId="0" fontId="8" fillId="5" borderId="11" xfId="0" applyFont="1" applyFill="1" applyBorder="1" applyAlignment="1">
      <alignment vertical="top" wrapText="1"/>
    </xf>
    <xf numFmtId="0" fontId="8" fillId="41" borderId="65" xfId="0" applyFont="1" applyFill="1" applyBorder="1" applyAlignment="1">
      <alignment horizontal="right" vertical="center"/>
    </xf>
    <xf numFmtId="0" fontId="8" fillId="41" borderId="65" xfId="0" applyFont="1" applyFill="1" applyBorder="1" applyAlignment="1">
      <alignment horizontal="center" vertical="center"/>
    </xf>
    <xf numFmtId="0" fontId="8" fillId="41" borderId="49" xfId="0" applyFont="1" applyFill="1" applyBorder="1" applyAlignment="1">
      <alignment horizontal="right" vertical="center"/>
    </xf>
    <xf numFmtId="0" fontId="8" fillId="41" borderId="11" xfId="0" applyFont="1" applyFill="1" applyBorder="1" applyAlignment="1">
      <alignment horizontal="right" vertical="center"/>
    </xf>
    <xf numFmtId="0" fontId="8" fillId="41" borderId="67" xfId="0" applyFont="1" applyFill="1" applyBorder="1" applyAlignment="1">
      <alignment vertical="center"/>
    </xf>
    <xf numFmtId="0" fontId="13" fillId="41" borderId="43" xfId="0" applyFont="1" applyFill="1" applyBorder="1" applyAlignment="1">
      <alignment horizontal="center" vertical="center" wrapText="1"/>
    </xf>
    <xf numFmtId="164" fontId="8" fillId="3" borderId="11" xfId="0" applyNumberFormat="1" applyFont="1" applyFill="1" applyBorder="1"/>
    <xf numFmtId="0" fontId="13" fillId="41" borderId="11" xfId="0" applyFont="1" applyFill="1" applyBorder="1" applyAlignment="1">
      <alignment horizontal="right" vertical="center" indent="1"/>
    </xf>
    <xf numFmtId="0" fontId="8" fillId="41" borderId="67" xfId="0" applyFont="1" applyFill="1" applyBorder="1" applyAlignment="1">
      <alignment horizontal="right" vertical="center"/>
    </xf>
    <xf numFmtId="0" fontId="8" fillId="41" borderId="43" xfId="0" applyFont="1" applyFill="1" applyBorder="1" applyAlignment="1">
      <alignment horizontal="right" vertical="center"/>
    </xf>
    <xf numFmtId="0" fontId="8" fillId="41" borderId="43" xfId="0" applyFont="1" applyFill="1" applyBorder="1" applyAlignment="1">
      <alignment horizontal="center" vertical="center"/>
    </xf>
    <xf numFmtId="0" fontId="8" fillId="41" borderId="48" xfId="0" applyFont="1" applyFill="1" applyBorder="1" applyAlignment="1">
      <alignment horizontal="right" vertical="center" wrapText="1"/>
    </xf>
    <xf numFmtId="0" fontId="8" fillId="42" borderId="0" xfId="0" applyFont="1" applyFill="1"/>
    <xf numFmtId="0" fontId="8" fillId="42" borderId="0" xfId="0" applyFont="1" applyFill="1" applyAlignment="1">
      <alignment horizontal="center"/>
    </xf>
    <xf numFmtId="0" fontId="8" fillId="41" borderId="49" xfId="0" applyFont="1" applyFill="1" applyBorder="1" applyAlignment="1">
      <alignment vertical="center"/>
    </xf>
    <xf numFmtId="0" fontId="8" fillId="41" borderId="66" xfId="0" applyFont="1" applyFill="1" applyBorder="1" applyAlignment="1">
      <alignment horizontal="right" vertical="center" wrapText="1"/>
    </xf>
    <xf numFmtId="0" fontId="8" fillId="42" borderId="0" xfId="0" applyFont="1" applyFill="1" applyAlignment="1">
      <alignment horizontal="right" indent="1"/>
    </xf>
    <xf numFmtId="0" fontId="54" fillId="45" borderId="0" xfId="0" applyFont="1" applyFill="1" applyAlignment="1">
      <alignment horizontal="left" vertical="center"/>
    </xf>
    <xf numFmtId="0" fontId="8" fillId="42" borderId="0" xfId="0" applyFont="1" applyFill="1" applyAlignment="1">
      <alignment horizontal="left" indent="1"/>
    </xf>
    <xf numFmtId="0" fontId="61" fillId="42" borderId="43" xfId="0" applyFont="1" applyFill="1" applyBorder="1" applyAlignment="1">
      <alignment horizontal="right" indent="1"/>
    </xf>
    <xf numFmtId="0" fontId="13" fillId="41" borderId="0" xfId="0" applyFont="1" applyFill="1" applyAlignment="1">
      <alignment horizontal="center" vertical="center" wrapText="1"/>
    </xf>
    <xf numFmtId="0" fontId="8" fillId="41" borderId="0" xfId="0" applyFont="1" applyFill="1" applyAlignment="1">
      <alignment horizontal="right" indent="1"/>
    </xf>
    <xf numFmtId="0" fontId="8" fillId="42" borderId="11" xfId="0" applyFont="1" applyFill="1" applyBorder="1" applyAlignment="1">
      <alignment horizontal="right"/>
    </xf>
    <xf numFmtId="3" fontId="8" fillId="41" borderId="43" xfId="0" applyNumberFormat="1" applyFont="1" applyFill="1" applyBorder="1" applyAlignment="1">
      <alignment horizontal="center"/>
    </xf>
    <xf numFmtId="0" fontId="8" fillId="42" borderId="0" xfId="0" applyFont="1" applyFill="1" applyAlignment="1">
      <alignment horizontal="right"/>
    </xf>
    <xf numFmtId="0" fontId="61" fillId="42" borderId="0" xfId="0" applyFont="1" applyFill="1" applyAlignment="1">
      <alignment horizontal="right" indent="1"/>
    </xf>
    <xf numFmtId="9" fontId="13" fillId="42" borderId="54" xfId="5" applyFont="1" applyFill="1" applyBorder="1" applyAlignment="1" applyProtection="1">
      <alignment horizontal="center"/>
    </xf>
    <xf numFmtId="0" fontId="13" fillId="42" borderId="43" xfId="0" applyFont="1" applyFill="1" applyBorder="1" applyAlignment="1">
      <alignment horizontal="right" indent="1"/>
    </xf>
    <xf numFmtId="0" fontId="8" fillId="42" borderId="11" xfId="0" applyFont="1" applyFill="1" applyBorder="1" applyAlignment="1">
      <alignment horizontal="left" indent="1"/>
    </xf>
    <xf numFmtId="0" fontId="8" fillId="41" borderId="50" xfId="0" applyFont="1" applyFill="1" applyBorder="1" applyAlignment="1">
      <alignment horizontal="right" vertical="center" wrapText="1"/>
    </xf>
    <xf numFmtId="0" fontId="8" fillId="42" borderId="43" xfId="0" applyFont="1" applyFill="1" applyBorder="1"/>
    <xf numFmtId="0" fontId="8" fillId="42" borderId="43" xfId="0" applyFont="1" applyFill="1" applyBorder="1" applyAlignment="1">
      <alignment horizontal="left" indent="1"/>
    </xf>
    <xf numFmtId="0" fontId="8" fillId="41" borderId="51" xfId="0" applyFont="1" applyFill="1" applyBorder="1" applyAlignment="1">
      <alignment vertical="center"/>
    </xf>
    <xf numFmtId="0" fontId="8" fillId="24" borderId="11" xfId="0" applyFont="1" applyFill="1" applyBorder="1"/>
    <xf numFmtId="0" fontId="8" fillId="43" borderId="48" xfId="0" applyFont="1" applyFill="1" applyBorder="1"/>
    <xf numFmtId="0" fontId="8" fillId="42" borderId="65" xfId="0" applyFont="1" applyFill="1" applyBorder="1"/>
    <xf numFmtId="0" fontId="8" fillId="43" borderId="65" xfId="0" applyFont="1" applyFill="1" applyBorder="1"/>
    <xf numFmtId="0" fontId="8" fillId="43" borderId="49" xfId="0" applyFont="1" applyFill="1" applyBorder="1"/>
    <xf numFmtId="0" fontId="8" fillId="43" borderId="66" xfId="0" applyFont="1" applyFill="1" applyBorder="1"/>
    <xf numFmtId="0" fontId="8" fillId="42" borderId="11" xfId="0" applyFont="1" applyFill="1" applyBorder="1" applyAlignment="1">
      <alignment horizontal="right" indent="1"/>
    </xf>
    <xf numFmtId="0" fontId="54" fillId="45" borderId="11" xfId="0" applyFont="1" applyFill="1" applyBorder="1" applyAlignment="1">
      <alignment vertical="center"/>
    </xf>
    <xf numFmtId="0" fontId="8" fillId="42" borderId="11" xfId="0" applyFont="1" applyFill="1" applyBorder="1"/>
    <xf numFmtId="0" fontId="8" fillId="43" borderId="11" xfId="0" applyFont="1" applyFill="1" applyBorder="1"/>
    <xf numFmtId="0" fontId="8" fillId="43" borderId="67" xfId="0" applyFont="1" applyFill="1" applyBorder="1"/>
    <xf numFmtId="0" fontId="8" fillId="42" borderId="11" xfId="0" applyFont="1" applyFill="1" applyBorder="1" applyAlignment="1">
      <alignment horizontal="right" wrapText="1" indent="1"/>
    </xf>
    <xf numFmtId="0" fontId="61" fillId="42" borderId="11" xfId="0" applyFont="1" applyFill="1" applyBorder="1" applyAlignment="1">
      <alignment horizontal="right" indent="1"/>
    </xf>
    <xf numFmtId="0" fontId="61" fillId="42" borderId="11" xfId="0" applyFont="1" applyFill="1" applyBorder="1"/>
    <xf numFmtId="0" fontId="8" fillId="43" borderId="50" xfId="0" applyFont="1" applyFill="1" applyBorder="1"/>
    <xf numFmtId="0" fontId="8" fillId="43" borderId="43" xfId="0" applyFont="1" applyFill="1" applyBorder="1"/>
    <xf numFmtId="0" fontId="8" fillId="43" borderId="51" xfId="0" applyFont="1" applyFill="1" applyBorder="1"/>
    <xf numFmtId="0" fontId="8" fillId="6" borderId="48" xfId="0" applyFont="1" applyFill="1" applyBorder="1" applyAlignment="1">
      <alignment horizontal="right" vertical="center" wrapText="1"/>
    </xf>
    <xf numFmtId="0" fontId="8" fillId="6" borderId="65" xfId="0" applyFont="1" applyFill="1" applyBorder="1" applyAlignment="1">
      <alignment horizontal="center" vertical="center" wrapText="1"/>
    </xf>
    <xf numFmtId="0" fontId="8" fillId="6" borderId="65" xfId="0" applyFont="1" applyFill="1" applyBorder="1" applyAlignment="1">
      <alignment horizontal="right" vertical="center" wrapText="1"/>
    </xf>
    <xf numFmtId="0" fontId="8" fillId="6" borderId="49" xfId="0" applyFont="1" applyFill="1" applyBorder="1" applyAlignment="1">
      <alignment horizontal="right" vertical="center" wrapText="1"/>
    </xf>
    <xf numFmtId="0" fontId="13" fillId="6" borderId="0" xfId="0" applyFont="1" applyFill="1" applyAlignment="1">
      <alignment horizontal="center" vertical="center" wrapText="1"/>
    </xf>
    <xf numFmtId="0" fontId="8" fillId="21" borderId="0" xfId="0" applyFont="1" applyFill="1" applyAlignment="1">
      <alignment horizontal="left" indent="1"/>
    </xf>
    <xf numFmtId="0" fontId="8" fillId="21" borderId="0" xfId="0" applyFont="1" applyFill="1"/>
    <xf numFmtId="0" fontId="8" fillId="6" borderId="67" xfId="0" applyFont="1" applyFill="1" applyBorder="1" applyAlignment="1">
      <alignment horizontal="right" vertical="center" wrapText="1"/>
    </xf>
    <xf numFmtId="0" fontId="8" fillId="6" borderId="0" xfId="0" applyFont="1" applyFill="1" applyAlignment="1">
      <alignment horizontal="right" indent="1"/>
    </xf>
    <xf numFmtId="0" fontId="8" fillId="6" borderId="67" xfId="0" applyFont="1" applyFill="1" applyBorder="1" applyAlignment="1">
      <alignment horizontal="left" vertical="center"/>
    </xf>
    <xf numFmtId="0" fontId="8" fillId="6" borderId="11" xfId="0" applyFont="1" applyFill="1" applyBorder="1" applyAlignment="1">
      <alignment horizontal="right" vertical="center" wrapText="1" indent="1"/>
    </xf>
    <xf numFmtId="3" fontId="9" fillId="21" borderId="11" xfId="0" applyNumberFormat="1" applyFont="1" applyFill="1" applyBorder="1" applyAlignment="1">
      <alignment horizontal="center" vertical="center"/>
    </xf>
    <xf numFmtId="0" fontId="8" fillId="6" borderId="11" xfId="0" applyFont="1" applyFill="1" applyBorder="1" applyAlignment="1">
      <alignment horizontal="left" vertical="center"/>
    </xf>
    <xf numFmtId="3" fontId="8" fillId="21" borderId="0" xfId="0" applyNumberFormat="1" applyFont="1" applyFill="1" applyAlignment="1">
      <alignment horizontal="center"/>
    </xf>
    <xf numFmtId="0" fontId="8" fillId="21" borderId="0" xfId="0" applyFont="1" applyFill="1" applyAlignment="1">
      <alignment horizontal="center"/>
    </xf>
    <xf numFmtId="0" fontId="13" fillId="6" borderId="11" xfId="0" applyFont="1" applyFill="1" applyBorder="1" applyAlignment="1">
      <alignment horizontal="right" vertical="center" indent="1"/>
    </xf>
    <xf numFmtId="166" fontId="13" fillId="6" borderId="54" xfId="0" applyNumberFormat="1" applyFont="1" applyFill="1" applyBorder="1" applyAlignment="1">
      <alignment horizontal="center" vertical="center"/>
    </xf>
    <xf numFmtId="0" fontId="8" fillId="6" borderId="11" xfId="0" applyFont="1" applyFill="1" applyBorder="1" applyAlignment="1">
      <alignment horizontal="right" vertical="center"/>
    </xf>
    <xf numFmtId="0" fontId="8" fillId="6" borderId="11" xfId="0" applyFont="1" applyFill="1" applyBorder="1" applyAlignment="1">
      <alignment horizontal="right" vertical="center" wrapText="1"/>
    </xf>
    <xf numFmtId="0" fontId="9" fillId="21" borderId="11" xfId="0" applyFont="1" applyFill="1" applyBorder="1" applyAlignment="1">
      <alignment horizontal="center" vertical="center"/>
    </xf>
    <xf numFmtId="0" fontId="8" fillId="6" borderId="11" xfId="0" applyFont="1" applyFill="1" applyBorder="1" applyAlignment="1">
      <alignment vertical="center"/>
    </xf>
    <xf numFmtId="0" fontId="8" fillId="6" borderId="67" xfId="0" applyFont="1" applyFill="1" applyBorder="1" applyAlignment="1">
      <alignment vertical="center"/>
    </xf>
    <xf numFmtId="0" fontId="8" fillId="6" borderId="50" xfId="0" applyFont="1" applyFill="1" applyBorder="1" applyAlignment="1">
      <alignment horizontal="right" vertical="center" wrapText="1"/>
    </xf>
    <xf numFmtId="0" fontId="8" fillId="6" borderId="43" xfId="0" applyFont="1" applyFill="1" applyBorder="1" applyAlignment="1">
      <alignment horizontal="right" vertical="center" wrapText="1"/>
    </xf>
    <xf numFmtId="0" fontId="8" fillId="6" borderId="43" xfId="0" applyFont="1" applyFill="1" applyBorder="1" applyAlignment="1">
      <alignment horizontal="center" vertical="center" wrapText="1"/>
    </xf>
    <xf numFmtId="0" fontId="8" fillId="6" borderId="51" xfId="0" applyFont="1" applyFill="1" applyBorder="1" applyAlignment="1">
      <alignment horizontal="right" vertical="center" wrapText="1"/>
    </xf>
    <xf numFmtId="0" fontId="8" fillId="20" borderId="67" xfId="0" applyFont="1" applyFill="1" applyBorder="1"/>
    <xf numFmtId="0" fontId="3" fillId="2" borderId="11" xfId="0" applyFont="1" applyFill="1" applyBorder="1" applyAlignment="1">
      <alignment vertical="top"/>
    </xf>
    <xf numFmtId="0" fontId="50" fillId="2" borderId="11" xfId="0" applyFont="1" applyFill="1" applyBorder="1" applyAlignment="1">
      <alignment vertical="center"/>
    </xf>
    <xf numFmtId="0" fontId="50" fillId="2" borderId="11" xfId="0" applyFont="1" applyFill="1" applyBorder="1" applyAlignment="1">
      <alignment horizontal="center" vertical="center"/>
    </xf>
    <xf numFmtId="0" fontId="51" fillId="3" borderId="11" xfId="0" applyFont="1" applyFill="1" applyBorder="1" applyAlignment="1">
      <alignment vertical="center"/>
    </xf>
    <xf numFmtId="0" fontId="51" fillId="30" borderId="11" xfId="0" applyFont="1" applyFill="1" applyBorder="1" applyAlignment="1">
      <alignment vertical="center"/>
    </xf>
    <xf numFmtId="0" fontId="51" fillId="0" borderId="0" xfId="0" applyFont="1" applyAlignment="1">
      <alignment vertical="center"/>
    </xf>
    <xf numFmtId="0" fontId="8" fillId="3" borderId="11" xfId="0" applyFont="1" applyFill="1" applyBorder="1" applyAlignment="1">
      <alignment vertical="top"/>
    </xf>
    <xf numFmtId="0" fontId="27" fillId="3" borderId="37" xfId="0" applyFont="1" applyFill="1" applyBorder="1" applyAlignment="1">
      <alignment vertical="center"/>
    </xf>
    <xf numFmtId="0" fontId="7" fillId="3" borderId="37" xfId="0" applyFont="1" applyFill="1" applyBorder="1" applyAlignment="1">
      <alignment vertical="top"/>
    </xf>
    <xf numFmtId="0" fontId="7" fillId="3" borderId="37" xfId="0" applyFont="1" applyFill="1" applyBorder="1" applyAlignment="1">
      <alignment vertical="center"/>
    </xf>
    <xf numFmtId="0" fontId="4" fillId="0" borderId="37" xfId="0" applyFont="1" applyBorder="1" applyAlignment="1">
      <alignment vertical="center"/>
    </xf>
    <xf numFmtId="0" fontId="27" fillId="3" borderId="37" xfId="0" applyFont="1" applyFill="1" applyBorder="1" applyAlignment="1">
      <alignment horizontal="center" vertical="center"/>
    </xf>
    <xf numFmtId="0" fontId="51" fillId="3" borderId="37" xfId="0" applyFont="1" applyFill="1" applyBorder="1" applyAlignment="1">
      <alignment vertical="center"/>
    </xf>
    <xf numFmtId="0" fontId="51" fillId="30" borderId="37" xfId="0" applyFont="1" applyFill="1" applyBorder="1" applyAlignment="1">
      <alignment vertical="center"/>
    </xf>
    <xf numFmtId="0" fontId="27" fillId="30" borderId="37" xfId="0" applyFont="1" applyFill="1" applyBorder="1" applyAlignment="1">
      <alignment vertical="center"/>
    </xf>
    <xf numFmtId="0" fontId="27" fillId="0" borderId="37" xfId="0" applyFont="1" applyBorder="1" applyAlignment="1">
      <alignment vertical="center"/>
    </xf>
    <xf numFmtId="0" fontId="13" fillId="18" borderId="11" xfId="0" applyFont="1" applyFill="1" applyBorder="1" applyAlignment="1">
      <alignment vertical="center"/>
    </xf>
    <xf numFmtId="0" fontId="13" fillId="18" borderId="11" xfId="0" applyFont="1" applyFill="1" applyBorder="1" applyAlignment="1">
      <alignment horizontal="center" vertical="center"/>
    </xf>
    <xf numFmtId="0" fontId="12" fillId="18" borderId="11" xfId="0" applyFont="1" applyFill="1" applyBorder="1" applyAlignment="1">
      <alignment vertical="center"/>
    </xf>
    <xf numFmtId="0" fontId="8" fillId="41" borderId="48" xfId="0" applyFont="1" applyFill="1" applyBorder="1" applyAlignment="1">
      <alignment vertical="center"/>
    </xf>
    <xf numFmtId="0" fontId="8" fillId="41" borderId="65" xfId="0" applyFont="1" applyFill="1" applyBorder="1" applyAlignment="1">
      <alignment vertical="center"/>
    </xf>
    <xf numFmtId="0" fontId="8" fillId="41" borderId="66" xfId="0" applyFont="1" applyFill="1" applyBorder="1" applyAlignment="1">
      <alignment vertical="center"/>
    </xf>
    <xf numFmtId="3" fontId="8" fillId="41" borderId="65" xfId="0" applyNumberFormat="1" applyFont="1" applyFill="1" applyBorder="1" applyAlignment="1">
      <alignment horizontal="center" vertical="center"/>
    </xf>
    <xf numFmtId="0" fontId="13" fillId="18" borderId="16" xfId="0" applyFont="1" applyFill="1" applyBorder="1" applyAlignment="1">
      <alignment horizontal="right" vertical="center"/>
    </xf>
    <xf numFmtId="0" fontId="13" fillId="18" borderId="16" xfId="0" applyFont="1" applyFill="1" applyBorder="1" applyAlignment="1">
      <alignment horizontal="center" vertical="center"/>
    </xf>
    <xf numFmtId="0" fontId="13" fillId="41" borderId="66" xfId="0" applyFont="1" applyFill="1" applyBorder="1" applyAlignment="1">
      <alignment vertical="center"/>
    </xf>
    <xf numFmtId="170" fontId="8" fillId="41" borderId="43" xfId="0" applyNumberFormat="1" applyFont="1" applyFill="1" applyBorder="1" applyAlignment="1">
      <alignment horizontal="center" vertical="center"/>
    </xf>
    <xf numFmtId="0" fontId="13" fillId="41" borderId="11" xfId="0" applyFont="1" applyFill="1" applyBorder="1" applyAlignment="1">
      <alignment vertical="center"/>
    </xf>
    <xf numFmtId="0" fontId="13" fillId="41" borderId="43" xfId="0" applyFont="1" applyFill="1" applyBorder="1" applyAlignment="1">
      <alignment vertical="center"/>
    </xf>
    <xf numFmtId="0" fontId="13" fillId="41" borderId="67" xfId="0" applyFont="1" applyFill="1" applyBorder="1" applyAlignment="1">
      <alignment vertical="center"/>
    </xf>
    <xf numFmtId="0" fontId="8" fillId="18" borderId="11" xfId="0" applyFont="1" applyFill="1" applyBorder="1" applyAlignment="1">
      <alignment horizontal="right" vertical="center"/>
    </xf>
    <xf numFmtId="1" fontId="8" fillId="18" borderId="11" xfId="0" applyNumberFormat="1" applyFont="1" applyFill="1" applyBorder="1" applyAlignment="1">
      <alignment horizontal="center" vertical="center"/>
    </xf>
    <xf numFmtId="0" fontId="13" fillId="41" borderId="50" xfId="0" applyFont="1" applyFill="1" applyBorder="1" applyAlignment="1">
      <alignment vertical="center"/>
    </xf>
    <xf numFmtId="0" fontId="13" fillId="41" borderId="43" xfId="0" applyFont="1" applyFill="1" applyBorder="1" applyAlignment="1">
      <alignment horizontal="right" vertical="center"/>
    </xf>
    <xf numFmtId="0" fontId="13" fillId="41" borderId="51" xfId="0" applyFont="1" applyFill="1" applyBorder="1" applyAlignment="1">
      <alignment vertical="center"/>
    </xf>
    <xf numFmtId="0" fontId="13" fillId="41" borderId="48" xfId="0" applyFont="1" applyFill="1" applyBorder="1" applyAlignment="1">
      <alignment vertical="center"/>
    </xf>
    <xf numFmtId="0" fontId="9" fillId="42" borderId="65" xfId="0" applyFont="1" applyFill="1" applyBorder="1" applyAlignment="1">
      <alignment vertical="center"/>
    </xf>
    <xf numFmtId="0" fontId="13" fillId="41" borderId="65" xfId="0" applyFont="1" applyFill="1" applyBorder="1" applyAlignment="1">
      <alignment horizontal="center" vertical="center"/>
    </xf>
    <xf numFmtId="0" fontId="13" fillId="41" borderId="49" xfId="0" applyFont="1" applyFill="1" applyBorder="1" applyAlignment="1">
      <alignment horizontal="center" vertical="center"/>
    </xf>
    <xf numFmtId="0" fontId="8" fillId="42" borderId="0" xfId="0" applyFont="1" applyFill="1" applyAlignment="1">
      <alignment vertical="center"/>
    </xf>
    <xf numFmtId="0" fontId="13" fillId="42" borderId="0" xfId="0" applyFont="1" applyFill="1" applyAlignment="1">
      <alignment horizontal="center" vertical="center"/>
    </xf>
    <xf numFmtId="0" fontId="8" fillId="18" borderId="11" xfId="0" applyFont="1" applyFill="1" applyBorder="1" applyAlignment="1">
      <alignment vertical="center"/>
    </xf>
    <xf numFmtId="0" fontId="8" fillId="18" borderId="11" xfId="0" applyFont="1" applyFill="1" applyBorder="1" applyAlignment="1">
      <alignment horizontal="center" vertical="center"/>
    </xf>
    <xf numFmtId="0" fontId="9" fillId="42" borderId="66" xfId="0" applyFont="1" applyFill="1" applyBorder="1" applyAlignment="1">
      <alignment vertical="center"/>
    </xf>
    <xf numFmtId="0" fontId="8" fillId="42" borderId="43" xfId="0" applyFont="1" applyFill="1" applyBorder="1" applyAlignment="1">
      <alignment vertical="center"/>
    </xf>
    <xf numFmtId="0" fontId="8" fillId="18" borderId="16" xfId="0" applyFont="1" applyFill="1" applyBorder="1" applyAlignment="1">
      <alignment vertical="center"/>
    </xf>
    <xf numFmtId="0" fontId="8" fillId="18" borderId="16" xfId="0" applyFont="1" applyFill="1" applyBorder="1" applyAlignment="1">
      <alignment horizontal="center" vertical="center"/>
    </xf>
    <xf numFmtId="0" fontId="13" fillId="41" borderId="66" xfId="0" applyFont="1" applyFill="1" applyBorder="1" applyAlignment="1">
      <alignment vertical="center" wrapText="1"/>
    </xf>
    <xf numFmtId="0" fontId="8" fillId="42" borderId="0" xfId="0" applyFont="1" applyFill="1" applyAlignment="1">
      <alignment horizontal="left" vertical="center" indent="1"/>
    </xf>
    <xf numFmtId="43" fontId="13" fillId="41" borderId="66" xfId="0" applyNumberFormat="1" applyFont="1" applyFill="1" applyBorder="1" applyAlignment="1">
      <alignment vertical="center"/>
    </xf>
    <xf numFmtId="0" fontId="13" fillId="41" borderId="67" xfId="0" applyFont="1" applyFill="1" applyBorder="1" applyAlignment="1">
      <alignment horizontal="right" vertical="center"/>
    </xf>
    <xf numFmtId="0" fontId="8" fillId="42" borderId="50" xfId="0" applyFont="1" applyFill="1" applyBorder="1" applyAlignment="1">
      <alignment horizontal="left" vertical="center" indent="1"/>
    </xf>
    <xf numFmtId="0" fontId="9" fillId="42" borderId="11" xfId="0" applyFont="1" applyFill="1" applyBorder="1" applyAlignment="1">
      <alignment vertical="center"/>
    </xf>
    <xf numFmtId="0" fontId="8" fillId="42" borderId="0" xfId="0" applyFont="1" applyFill="1" applyAlignment="1">
      <alignment horizontal="center" vertical="center"/>
    </xf>
    <xf numFmtId="0" fontId="13" fillId="42" borderId="11" xfId="0" applyFont="1" applyFill="1" applyBorder="1" applyAlignment="1">
      <alignment vertical="center"/>
    </xf>
    <xf numFmtId="3" fontId="13" fillId="41" borderId="54" xfId="0" applyNumberFormat="1" applyFont="1" applyFill="1" applyBorder="1" applyAlignment="1">
      <alignment horizontal="center" vertical="center"/>
    </xf>
    <xf numFmtId="164" fontId="8" fillId="41" borderId="11" xfId="0" applyNumberFormat="1" applyFont="1" applyFill="1" applyBorder="1" applyAlignment="1">
      <alignment vertical="center"/>
    </xf>
    <xf numFmtId="164" fontId="8" fillId="41" borderId="67" xfId="0" applyNumberFormat="1" applyFont="1" applyFill="1" applyBorder="1" applyAlignment="1">
      <alignment vertical="center"/>
    </xf>
    <xf numFmtId="0" fontId="8" fillId="14" borderId="0" xfId="0" applyFont="1" applyFill="1" applyAlignment="1">
      <alignment vertical="center"/>
    </xf>
    <xf numFmtId="0" fontId="8" fillId="18" borderId="11" xfId="0" applyFont="1" applyFill="1" applyBorder="1" applyAlignment="1">
      <alignment horizontal="left" vertical="center"/>
    </xf>
    <xf numFmtId="0" fontId="8" fillId="41" borderId="50" xfId="0" applyFont="1" applyFill="1" applyBorder="1" applyAlignment="1">
      <alignment vertical="center"/>
    </xf>
    <xf numFmtId="0" fontId="8" fillId="41" borderId="43" xfId="0" applyFont="1" applyFill="1" applyBorder="1" applyAlignment="1">
      <alignment vertical="center"/>
    </xf>
    <xf numFmtId="0" fontId="8" fillId="24" borderId="11" xfId="0" applyFont="1" applyFill="1" applyBorder="1" applyAlignment="1">
      <alignment vertical="center"/>
    </xf>
    <xf numFmtId="0" fontId="13" fillId="45" borderId="48" xfId="0" applyFont="1" applyFill="1" applyBorder="1" applyAlignment="1">
      <alignment horizontal="right" vertical="center"/>
    </xf>
    <xf numFmtId="0" fontId="13" fillId="45" borderId="65" xfId="0" applyFont="1" applyFill="1" applyBorder="1" applyAlignment="1">
      <alignment horizontal="right" vertical="center"/>
    </xf>
    <xf numFmtId="0" fontId="8" fillId="45" borderId="65" xfId="0" applyFont="1" applyFill="1" applyBorder="1" applyAlignment="1">
      <alignment vertical="center"/>
    </xf>
    <xf numFmtId="0" fontId="8" fillId="45" borderId="49" xfId="0" applyFont="1" applyFill="1" applyBorder="1" applyAlignment="1">
      <alignment vertical="center"/>
    </xf>
    <xf numFmtId="0" fontId="13" fillId="18" borderId="11" xfId="0" applyFont="1" applyFill="1" applyBorder="1" applyAlignment="1">
      <alignment horizontal="left" vertical="center"/>
    </xf>
    <xf numFmtId="0" fontId="13" fillId="45" borderId="66" xfId="0" applyFont="1" applyFill="1" applyBorder="1" applyAlignment="1">
      <alignment vertical="center"/>
    </xf>
    <xf numFmtId="0" fontId="8" fillId="45" borderId="19" xfId="0" applyFont="1" applyFill="1" applyBorder="1" applyAlignment="1">
      <alignment horizontal="right" vertical="center" indent="1"/>
    </xf>
    <xf numFmtId="0" fontId="8" fillId="45" borderId="11" xfId="0" applyFont="1" applyFill="1" applyBorder="1" applyAlignment="1">
      <alignment vertical="center"/>
    </xf>
    <xf numFmtId="0" fontId="8" fillId="45" borderId="67" xfId="0" applyFont="1" applyFill="1" applyBorder="1" applyAlignment="1">
      <alignment vertical="center"/>
    </xf>
    <xf numFmtId="0" fontId="13" fillId="18" borderId="43" xfId="0" applyFont="1" applyFill="1" applyBorder="1" applyAlignment="1">
      <alignment horizontal="left" vertical="center"/>
    </xf>
    <xf numFmtId="0" fontId="13" fillId="18" borderId="43" xfId="0" applyFont="1" applyFill="1" applyBorder="1" applyAlignment="1">
      <alignment horizontal="center" vertical="center"/>
    </xf>
    <xf numFmtId="0" fontId="13" fillId="14" borderId="0" xfId="0" applyFont="1" applyFill="1" applyAlignment="1">
      <alignment vertical="center"/>
    </xf>
    <xf numFmtId="0" fontId="13" fillId="45" borderId="66" xfId="0" applyFont="1" applyFill="1" applyBorder="1" applyAlignment="1">
      <alignment horizontal="right" vertical="center"/>
    </xf>
    <xf numFmtId="0" fontId="13" fillId="45" borderId="11" xfId="0" applyFont="1" applyFill="1" applyBorder="1" applyAlignment="1">
      <alignment horizontal="right" vertical="center"/>
    </xf>
    <xf numFmtId="0" fontId="8" fillId="45" borderId="11" xfId="0" applyFont="1" applyFill="1" applyBorder="1" applyAlignment="1">
      <alignment horizontal="right" vertical="center"/>
    </xf>
    <xf numFmtId="0" fontId="8" fillId="41" borderId="67" xfId="0" applyFont="1" applyFill="1" applyBorder="1" applyAlignment="1">
      <alignment horizontal="center" vertical="center" wrapText="1"/>
    </xf>
    <xf numFmtId="3" fontId="8" fillId="41" borderId="67" xfId="0" applyNumberFormat="1" applyFont="1" applyFill="1" applyBorder="1" applyAlignment="1">
      <alignment horizontal="center" vertical="center"/>
    </xf>
    <xf numFmtId="0" fontId="9" fillId="18" borderId="11" xfId="0" applyFont="1" applyFill="1" applyBorder="1" applyAlignment="1">
      <alignment vertical="top" wrapText="1"/>
    </xf>
    <xf numFmtId="0" fontId="8" fillId="41" borderId="67" xfId="0" applyFont="1" applyFill="1" applyBorder="1" applyAlignment="1">
      <alignment horizontal="center" vertical="center"/>
    </xf>
    <xf numFmtId="0" fontId="13" fillId="41" borderId="11" xfId="0" applyFont="1" applyFill="1" applyBorder="1" applyAlignment="1">
      <alignment horizontal="center" vertical="center" wrapText="1"/>
    </xf>
    <xf numFmtId="0" fontId="8" fillId="14" borderId="0" xfId="0" applyFont="1" applyFill="1" applyAlignment="1">
      <alignment horizontal="center" vertical="center"/>
    </xf>
    <xf numFmtId="3" fontId="8" fillId="41" borderId="43" xfId="0" applyNumberFormat="1" applyFont="1" applyFill="1" applyBorder="1" applyAlignment="1">
      <alignment horizontal="center" vertical="center"/>
    </xf>
    <xf numFmtId="0" fontId="8" fillId="42" borderId="11" xfId="0" applyFont="1" applyFill="1" applyBorder="1" applyAlignment="1">
      <alignment vertical="center"/>
    </xf>
    <xf numFmtId="3" fontId="13" fillId="41" borderId="11" xfId="0" applyNumberFormat="1" applyFont="1" applyFill="1" applyBorder="1" applyAlignment="1">
      <alignment horizontal="center" vertical="center"/>
    </xf>
    <xf numFmtId="0" fontId="13" fillId="18" borderId="16" xfId="0" applyFont="1" applyFill="1" applyBorder="1" applyAlignment="1">
      <alignment horizontal="left" vertical="center"/>
    </xf>
    <xf numFmtId="0" fontId="8" fillId="18" borderId="43" xfId="0" applyFont="1" applyFill="1" applyBorder="1" applyAlignment="1">
      <alignment horizontal="center" vertical="center"/>
    </xf>
    <xf numFmtId="0" fontId="8" fillId="3" borderId="67" xfId="0" applyFont="1" applyFill="1" applyBorder="1" applyAlignment="1">
      <alignment vertical="center"/>
    </xf>
    <xf numFmtId="0" fontId="13" fillId="43" borderId="11" xfId="0" applyFont="1" applyFill="1" applyBorder="1" applyAlignment="1">
      <alignment horizontal="left" vertical="center"/>
    </xf>
    <xf numFmtId="0" fontId="13" fillId="41" borderId="11" xfId="0" applyFont="1" applyFill="1" applyBorder="1" applyAlignment="1">
      <alignment vertical="center" wrapText="1"/>
    </xf>
    <xf numFmtId="0" fontId="13" fillId="41" borderId="11" xfId="0" applyFont="1" applyFill="1" applyBorder="1" applyAlignment="1">
      <alignment horizontal="center" vertical="center"/>
    </xf>
    <xf numFmtId="0" fontId="8" fillId="43" borderId="11" xfId="0" applyFont="1" applyFill="1" applyBorder="1" applyAlignment="1">
      <alignment vertical="center"/>
    </xf>
    <xf numFmtId="0" fontId="8" fillId="43" borderId="67" xfId="0" applyFont="1" applyFill="1" applyBorder="1" applyAlignment="1">
      <alignment vertical="center"/>
    </xf>
    <xf numFmtId="0" fontId="13" fillId="41" borderId="43" xfId="0" applyFont="1" applyFill="1" applyBorder="1" applyAlignment="1">
      <alignment horizontal="center" vertical="center"/>
    </xf>
    <xf numFmtId="9" fontId="8" fillId="41" borderId="67" xfId="0" applyNumberFormat="1" applyFont="1" applyFill="1" applyBorder="1" applyAlignment="1">
      <alignment horizontal="center" vertical="center"/>
    </xf>
    <xf numFmtId="3" fontId="8" fillId="42" borderId="65" xfId="0" applyNumberFormat="1" applyFont="1" applyFill="1" applyBorder="1" applyAlignment="1">
      <alignment horizontal="center" vertical="center"/>
    </xf>
    <xf numFmtId="170" fontId="8" fillId="41" borderId="11" xfId="0" applyNumberFormat="1" applyFont="1" applyFill="1" applyBorder="1" applyAlignment="1">
      <alignment horizontal="center" vertical="center"/>
    </xf>
    <xf numFmtId="3" fontId="8" fillId="42" borderId="11" xfId="0" applyNumberFormat="1" applyFont="1" applyFill="1" applyBorder="1" applyAlignment="1">
      <alignment horizontal="center" vertical="center"/>
    </xf>
    <xf numFmtId="3" fontId="8" fillId="41" borderId="11" xfId="0" applyNumberFormat="1" applyFont="1" applyFill="1" applyBorder="1" applyAlignment="1">
      <alignment horizontal="center" vertical="center"/>
    </xf>
    <xf numFmtId="0" fontId="57" fillId="41" borderId="11" xfId="0" applyFont="1" applyFill="1" applyBorder="1" applyAlignment="1">
      <alignment horizontal="left" vertical="top" wrapText="1"/>
    </xf>
    <xf numFmtId="0" fontId="9" fillId="18" borderId="11" xfId="0" applyFont="1" applyFill="1" applyBorder="1" applyAlignment="1">
      <alignment vertical="center" wrapText="1"/>
    </xf>
    <xf numFmtId="3" fontId="8" fillId="42" borderId="43" xfId="0" applyNumberFormat="1" applyFont="1" applyFill="1" applyBorder="1" applyAlignment="1">
      <alignment horizontal="center" vertical="center"/>
    </xf>
    <xf numFmtId="0" fontId="34" fillId="18" borderId="11" xfId="0" applyFont="1" applyFill="1" applyBorder="1" applyAlignment="1">
      <alignment horizontal="center" vertical="center"/>
    </xf>
    <xf numFmtId="0" fontId="8" fillId="43" borderId="66" xfId="0" applyFont="1" applyFill="1" applyBorder="1" applyAlignment="1">
      <alignment vertical="center"/>
    </xf>
    <xf numFmtId="3" fontId="8" fillId="41" borderId="64" xfId="0" applyNumberFormat="1" applyFont="1" applyFill="1" applyBorder="1" applyAlignment="1">
      <alignment horizontal="center" vertical="center"/>
    </xf>
    <xf numFmtId="0" fontId="13" fillId="42" borderId="0" xfId="0" applyFont="1" applyFill="1" applyAlignment="1">
      <alignment vertical="center"/>
    </xf>
    <xf numFmtId="0" fontId="13" fillId="41" borderId="50" xfId="0" applyFont="1" applyFill="1" applyBorder="1" applyAlignment="1">
      <alignment horizontal="right" vertical="center"/>
    </xf>
    <xf numFmtId="0" fontId="13" fillId="41" borderId="51" xfId="0" applyFont="1" applyFill="1" applyBorder="1" applyAlignment="1">
      <alignment horizontal="right" vertical="center"/>
    </xf>
    <xf numFmtId="0" fontId="13" fillId="3" borderId="11" xfId="0" applyFont="1" applyFill="1" applyBorder="1" applyAlignment="1">
      <alignment horizontal="right" vertical="center"/>
    </xf>
    <xf numFmtId="0" fontId="13" fillId="43" borderId="65" xfId="0" applyFont="1" applyFill="1" applyBorder="1" applyAlignment="1">
      <alignment vertical="center"/>
    </xf>
    <xf numFmtId="0" fontId="8" fillId="43" borderId="65" xfId="0" applyFont="1" applyFill="1" applyBorder="1" applyAlignment="1">
      <alignment vertical="center"/>
    </xf>
    <xf numFmtId="0" fontId="8" fillId="43" borderId="49" xfId="0" applyFont="1" applyFill="1" applyBorder="1" applyAlignment="1">
      <alignment vertical="center"/>
    </xf>
    <xf numFmtId="0" fontId="8" fillId="18" borderId="11" xfId="0" applyFont="1" applyFill="1" applyBorder="1" applyAlignment="1">
      <alignment vertical="top" wrapText="1"/>
    </xf>
    <xf numFmtId="0" fontId="13" fillId="43" borderId="11" xfId="0" applyFont="1" applyFill="1" applyBorder="1" applyAlignment="1">
      <alignment vertical="center"/>
    </xf>
    <xf numFmtId="0" fontId="8" fillId="45" borderId="66" xfId="0" applyFont="1" applyFill="1" applyBorder="1" applyAlignment="1">
      <alignment horizontal="right" vertical="center" indent="1"/>
    </xf>
    <xf numFmtId="170" fontId="54" fillId="41" borderId="11" xfId="0" applyNumberFormat="1" applyFont="1" applyFill="1" applyBorder="1" applyAlignment="1">
      <alignment horizontal="left" vertical="top"/>
    </xf>
    <xf numFmtId="0" fontId="56" fillId="45" borderId="11" xfId="0" applyFont="1" applyFill="1" applyBorder="1" applyAlignment="1">
      <alignment vertical="center"/>
    </xf>
    <xf numFmtId="0" fontId="8" fillId="45" borderId="11" xfId="0" applyFont="1" applyFill="1" applyBorder="1" applyAlignment="1">
      <alignment horizontal="center" vertical="center"/>
    </xf>
    <xf numFmtId="0" fontId="8" fillId="45" borderId="11" xfId="0" applyFont="1" applyFill="1" applyBorder="1" applyAlignment="1">
      <alignment horizontal="left" vertical="center" indent="1"/>
    </xf>
    <xf numFmtId="0" fontId="13" fillId="45" borderId="11" xfId="0" applyFont="1" applyFill="1" applyBorder="1" applyAlignment="1">
      <alignment vertical="center"/>
    </xf>
    <xf numFmtId="0" fontId="13" fillId="45" borderId="11" xfId="0" applyFont="1" applyFill="1" applyBorder="1" applyAlignment="1">
      <alignment horizontal="right" vertical="center" indent="1"/>
    </xf>
    <xf numFmtId="3" fontId="8" fillId="45" borderId="11" xfId="0" applyNumberFormat="1" applyFont="1" applyFill="1" applyBorder="1" applyAlignment="1">
      <alignment horizontal="center" vertical="center"/>
    </xf>
    <xf numFmtId="3" fontId="8" fillId="45" borderId="11" xfId="0" applyNumberFormat="1" applyFont="1" applyFill="1" applyBorder="1" applyAlignment="1">
      <alignment vertical="center"/>
    </xf>
    <xf numFmtId="0" fontId="8" fillId="45" borderId="11" xfId="0" applyFont="1" applyFill="1" applyBorder="1" applyAlignment="1">
      <alignment horizontal="left" vertical="center"/>
    </xf>
    <xf numFmtId="0" fontId="8" fillId="45" borderId="11" xfId="0" applyFont="1" applyFill="1" applyBorder="1" applyAlignment="1">
      <alignment vertical="center" wrapText="1"/>
    </xf>
    <xf numFmtId="0" fontId="8" fillId="45" borderId="67" xfId="0" applyFont="1" applyFill="1" applyBorder="1" applyAlignment="1">
      <alignment vertical="center" wrapText="1"/>
    </xf>
    <xf numFmtId="0" fontId="13" fillId="45" borderId="66" xfId="0" applyFont="1" applyFill="1" applyBorder="1" applyAlignment="1">
      <alignment horizontal="right" vertical="center" indent="1"/>
    </xf>
    <xf numFmtId="3" fontId="13" fillId="45" borderId="54" xfId="0" applyNumberFormat="1" applyFont="1" applyFill="1" applyBorder="1" applyAlignment="1">
      <alignment horizontal="center" vertical="center"/>
    </xf>
    <xf numFmtId="3" fontId="8" fillId="45" borderId="11" xfId="0" applyNumberFormat="1" applyFont="1" applyFill="1" applyBorder="1" applyAlignment="1">
      <alignment horizontal="left" vertical="center" indent="1"/>
    </xf>
    <xf numFmtId="3" fontId="8" fillId="45" borderId="43" xfId="0" applyNumberFormat="1" applyFont="1" applyFill="1" applyBorder="1" applyAlignment="1">
      <alignment vertical="center"/>
    </xf>
    <xf numFmtId="3" fontId="8" fillId="45" borderId="51" xfId="0" applyNumberFormat="1" applyFont="1" applyFill="1" applyBorder="1" applyAlignment="1">
      <alignment vertical="center"/>
    </xf>
    <xf numFmtId="0" fontId="13" fillId="41" borderId="65" xfId="0" applyFont="1" applyFill="1" applyBorder="1" applyAlignment="1">
      <alignment vertical="center"/>
    </xf>
    <xf numFmtId="0" fontId="13" fillId="41" borderId="49" xfId="0" applyFont="1" applyFill="1" applyBorder="1" applyAlignment="1">
      <alignment vertical="center"/>
    </xf>
    <xf numFmtId="0" fontId="13" fillId="41" borderId="72" xfId="0" applyFont="1" applyFill="1" applyBorder="1" applyAlignment="1">
      <alignment horizontal="right" vertical="center" wrapText="1" indent="1"/>
    </xf>
    <xf numFmtId="0" fontId="13" fillId="41" borderId="28" xfId="0" applyFont="1" applyFill="1" applyBorder="1" applyAlignment="1">
      <alignment horizontal="center" vertical="center" wrapText="1"/>
    </xf>
    <xf numFmtId="0" fontId="13" fillId="41" borderId="28" xfId="0" applyFont="1" applyFill="1" applyBorder="1" applyAlignment="1">
      <alignment horizontal="center" vertical="top" wrapText="1"/>
    </xf>
    <xf numFmtId="0" fontId="13" fillId="41" borderId="75" xfId="0" applyFont="1" applyFill="1" applyBorder="1" applyAlignment="1">
      <alignment horizontal="center" vertical="center" wrapText="1"/>
    </xf>
    <xf numFmtId="0" fontId="8" fillId="18" borderId="11" xfId="0" applyFont="1" applyFill="1" applyBorder="1" applyAlignment="1">
      <alignment vertical="center" wrapText="1"/>
    </xf>
    <xf numFmtId="0" fontId="8" fillId="18" borderId="11" xfId="0" applyFont="1" applyFill="1" applyBorder="1" applyAlignment="1">
      <alignment horizontal="center" vertical="center" wrapText="1"/>
    </xf>
    <xf numFmtId="0" fontId="8" fillId="30" borderId="11" xfId="0" applyFont="1" applyFill="1" applyBorder="1" applyAlignment="1">
      <alignment vertical="center" wrapText="1"/>
    </xf>
    <xf numFmtId="0" fontId="8" fillId="41" borderId="83" xfId="0" applyFont="1" applyFill="1" applyBorder="1" applyAlignment="1">
      <alignment horizontal="right" vertical="center" indent="1"/>
    </xf>
    <xf numFmtId="3" fontId="8" fillId="41" borderId="49" xfId="0" applyNumberFormat="1" applyFont="1" applyFill="1" applyBorder="1" applyAlignment="1">
      <alignment horizontal="center" vertical="center"/>
    </xf>
    <xf numFmtId="3" fontId="9" fillId="41" borderId="49" xfId="0" applyNumberFormat="1" applyFont="1" applyFill="1" applyBorder="1" applyAlignment="1">
      <alignment horizontal="center" vertical="center"/>
    </xf>
    <xf numFmtId="0" fontId="13" fillId="41" borderId="67" xfId="0" applyFont="1" applyFill="1" applyBorder="1" applyAlignment="1">
      <alignment horizontal="center" vertical="center" wrapText="1"/>
    </xf>
    <xf numFmtId="0" fontId="8" fillId="41" borderId="67" xfId="0" applyFont="1" applyFill="1" applyBorder="1" applyAlignment="1">
      <alignment horizontal="right" vertical="center" indent="1"/>
    </xf>
    <xf numFmtId="3" fontId="9" fillId="41" borderId="67" xfId="0" applyNumberFormat="1" applyFont="1" applyFill="1" applyBorder="1" applyAlignment="1">
      <alignment horizontal="center" vertical="center"/>
    </xf>
    <xf numFmtId="0" fontId="8" fillId="41" borderId="72" xfId="0" applyFont="1" applyFill="1" applyBorder="1" applyAlignment="1">
      <alignment horizontal="right" vertical="center" indent="1"/>
    </xf>
    <xf numFmtId="3" fontId="9" fillId="41" borderId="51" xfId="0" applyNumberFormat="1" applyFont="1" applyFill="1" applyBorder="1" applyAlignment="1">
      <alignment horizontal="center" vertical="center"/>
    </xf>
    <xf numFmtId="166" fontId="8" fillId="41" borderId="11" xfId="0" applyNumberFormat="1" applyFont="1" applyFill="1" applyBorder="1" applyAlignment="1">
      <alignment horizontal="center" vertical="center"/>
    </xf>
    <xf numFmtId="3" fontId="8" fillId="41" borderId="65" xfId="0" applyNumberFormat="1" applyFont="1" applyFill="1" applyBorder="1" applyAlignment="1">
      <alignment horizontal="center"/>
    </xf>
    <xf numFmtId="170" fontId="13" fillId="41" borderId="54" xfId="0" applyNumberFormat="1" applyFont="1" applyFill="1" applyBorder="1" applyAlignment="1">
      <alignment horizontal="center"/>
    </xf>
    <xf numFmtId="0" fontId="9" fillId="42" borderId="43" xfId="0" applyFont="1" applyFill="1" applyBorder="1" applyAlignment="1">
      <alignment vertical="center"/>
    </xf>
    <xf numFmtId="0" fontId="13" fillId="3" borderId="11" xfId="0" applyFont="1" applyFill="1" applyBorder="1" applyAlignment="1">
      <alignment vertical="center"/>
    </xf>
    <xf numFmtId="0" fontId="13" fillId="3" borderId="11" xfId="0" applyFont="1" applyFill="1" applyBorder="1" applyAlignment="1">
      <alignment horizontal="center" vertical="center"/>
    </xf>
    <xf numFmtId="0" fontId="8" fillId="45" borderId="48" xfId="0" applyFont="1" applyFill="1" applyBorder="1" applyAlignment="1">
      <alignment vertical="center"/>
    </xf>
    <xf numFmtId="0" fontId="8" fillId="45" borderId="66" xfId="0" applyFont="1" applyFill="1" applyBorder="1" applyAlignment="1">
      <alignment vertical="center"/>
    </xf>
    <xf numFmtId="0" fontId="8" fillId="45" borderId="11" xfId="0" applyFont="1" applyFill="1" applyBorder="1" applyAlignment="1">
      <alignment horizontal="right" vertical="center" indent="1"/>
    </xf>
    <xf numFmtId="0" fontId="13" fillId="18" borderId="16" xfId="0" applyFont="1" applyFill="1" applyBorder="1" applyAlignment="1">
      <alignment vertical="center"/>
    </xf>
    <xf numFmtId="0" fontId="8" fillId="14" borderId="43" xfId="0" applyFont="1" applyFill="1" applyBorder="1" applyAlignment="1">
      <alignment vertical="center"/>
    </xf>
    <xf numFmtId="0" fontId="8" fillId="45" borderId="66" xfId="0" applyFont="1" applyFill="1" applyBorder="1" applyAlignment="1">
      <alignment horizontal="right" vertical="center"/>
    </xf>
    <xf numFmtId="2" fontId="8" fillId="45" borderId="11" xfId="0" applyNumberFormat="1" applyFont="1" applyFill="1" applyBorder="1" applyAlignment="1">
      <alignment horizontal="center" vertical="center"/>
    </xf>
    <xf numFmtId="0" fontId="13" fillId="45" borderId="43" xfId="0" applyFont="1" applyFill="1" applyBorder="1" applyAlignment="1">
      <alignment horizontal="right" vertical="center" wrapText="1" indent="1"/>
    </xf>
    <xf numFmtId="0" fontId="13" fillId="45" borderId="11" xfId="0" applyFont="1" applyFill="1" applyBorder="1" applyAlignment="1">
      <alignment horizontal="center" vertical="center" wrapText="1"/>
    </xf>
    <xf numFmtId="0" fontId="13" fillId="45" borderId="10" xfId="0" applyFont="1" applyFill="1" applyBorder="1" applyAlignment="1">
      <alignment horizontal="center" vertical="center" wrapText="1"/>
    </xf>
    <xf numFmtId="0" fontId="13" fillId="45" borderId="16" xfId="0" applyFont="1" applyFill="1" applyBorder="1" applyAlignment="1">
      <alignment horizontal="center" vertical="center" wrapText="1"/>
    </xf>
    <xf numFmtId="164" fontId="8" fillId="45" borderId="11" xfId="0" applyNumberFormat="1" applyFont="1" applyFill="1" applyBorder="1" applyAlignment="1">
      <alignment vertical="center"/>
    </xf>
    <xf numFmtId="0" fontId="13" fillId="45" borderId="43" xfId="0" applyFont="1" applyFill="1" applyBorder="1" applyAlignment="1">
      <alignment horizontal="right" vertical="center" indent="1"/>
    </xf>
    <xf numFmtId="0" fontId="8" fillId="45" borderId="65" xfId="0" applyFont="1" applyFill="1" applyBorder="1" applyAlignment="1">
      <alignment horizontal="right" vertical="center" indent="1"/>
    </xf>
    <xf numFmtId="0" fontId="8" fillId="45" borderId="15" xfId="0" applyFont="1" applyFill="1" applyBorder="1" applyAlignment="1">
      <alignment horizontal="center" vertical="center"/>
    </xf>
    <xf numFmtId="0" fontId="8" fillId="45" borderId="15" xfId="0" applyFont="1" applyFill="1" applyBorder="1" applyAlignment="1">
      <alignment vertical="center"/>
    </xf>
    <xf numFmtId="166" fontId="14" fillId="45" borderId="5" xfId="0" applyNumberFormat="1" applyFont="1" applyFill="1" applyBorder="1" applyAlignment="1">
      <alignment horizontal="center" vertical="center"/>
    </xf>
    <xf numFmtId="166" fontId="14" fillId="45" borderId="11" xfId="0" applyNumberFormat="1" applyFont="1" applyFill="1" applyBorder="1" applyAlignment="1">
      <alignment horizontal="center" vertical="center"/>
    </xf>
    <xf numFmtId="0" fontId="8" fillId="45" borderId="50" xfId="0" applyFont="1" applyFill="1" applyBorder="1" applyAlignment="1">
      <alignment vertical="center"/>
    </xf>
    <xf numFmtId="0" fontId="8" fillId="45" borderId="43" xfId="0" applyFont="1" applyFill="1" applyBorder="1" applyAlignment="1">
      <alignment vertical="center"/>
    </xf>
    <xf numFmtId="0" fontId="8" fillId="45" borderId="51" xfId="0" applyFont="1" applyFill="1" applyBorder="1" applyAlignment="1">
      <alignment vertical="center"/>
    </xf>
    <xf numFmtId="0" fontId="13" fillId="18" borderId="43" xfId="0" applyFont="1" applyFill="1" applyBorder="1" applyAlignment="1">
      <alignment vertical="center"/>
    </xf>
    <xf numFmtId="9" fontId="8" fillId="18" borderId="11" xfId="0" applyNumberFormat="1" applyFont="1" applyFill="1" applyBorder="1" applyAlignment="1">
      <alignment horizontal="left" vertical="center"/>
    </xf>
    <xf numFmtId="0" fontId="8" fillId="14" borderId="11" xfId="0" applyFont="1" applyFill="1" applyBorder="1" applyAlignment="1">
      <alignment vertical="center"/>
    </xf>
    <xf numFmtId="0" fontId="14" fillId="42" borderId="11" xfId="0" applyFont="1" applyFill="1" applyBorder="1" applyAlignment="1">
      <alignment vertical="center"/>
    </xf>
    <xf numFmtId="0" fontId="8" fillId="14" borderId="11" xfId="0" applyFont="1" applyFill="1" applyBorder="1" applyAlignment="1">
      <alignment horizontal="center" vertical="center"/>
    </xf>
    <xf numFmtId="9" fontId="8" fillId="14" borderId="11" xfId="0" applyNumberFormat="1" applyFont="1" applyFill="1" applyBorder="1" applyAlignment="1">
      <alignment horizontal="left" vertical="center"/>
    </xf>
    <xf numFmtId="0" fontId="13" fillId="45" borderId="11" xfId="0" applyFont="1" applyFill="1" applyBorder="1" applyAlignment="1">
      <alignment horizontal="center" vertical="center"/>
    </xf>
    <xf numFmtId="0" fontId="0" fillId="24" borderId="11" xfId="0" applyFill="1" applyBorder="1"/>
    <xf numFmtId="0" fontId="0" fillId="23" borderId="65" xfId="0" applyFill="1" applyBorder="1"/>
    <xf numFmtId="0" fontId="8" fillId="64" borderId="65" xfId="0" applyFont="1" applyFill="1" applyBorder="1"/>
    <xf numFmtId="0" fontId="0" fillId="23" borderId="49" xfId="0" applyFill="1" applyBorder="1"/>
    <xf numFmtId="0" fontId="0" fillId="23" borderId="43" xfId="0" applyFill="1" applyBorder="1"/>
    <xf numFmtId="0" fontId="8" fillId="64" borderId="43" xfId="0" applyFont="1" applyFill="1" applyBorder="1"/>
    <xf numFmtId="0" fontId="0" fillId="23" borderId="51" xfId="0" applyFill="1" applyBorder="1"/>
    <xf numFmtId="0" fontId="9" fillId="3" borderId="11" xfId="0" applyFont="1" applyFill="1" applyBorder="1" applyAlignment="1">
      <alignment vertical="center"/>
    </xf>
    <xf numFmtId="0" fontId="9" fillId="3" borderId="11" xfId="0" applyFont="1" applyFill="1" applyBorder="1" applyAlignment="1">
      <alignment vertical="top"/>
    </xf>
    <xf numFmtId="0" fontId="8" fillId="0" borderId="0" xfId="0" applyFont="1" applyAlignment="1">
      <alignment vertical="top"/>
    </xf>
    <xf numFmtId="0" fontId="5" fillId="2" borderId="11" xfId="0" applyFont="1" applyFill="1" applyBorder="1"/>
    <xf numFmtId="0" fontId="5" fillId="2" borderId="11" xfId="0" applyFont="1" applyFill="1" applyBorder="1" applyAlignment="1">
      <alignment horizontal="right" indent="1"/>
    </xf>
    <xf numFmtId="0" fontId="16" fillId="3" borderId="11" xfId="0" applyFont="1" applyFill="1" applyBorder="1"/>
    <xf numFmtId="0" fontId="17" fillId="3" borderId="11" xfId="0" applyFont="1" applyFill="1" applyBorder="1"/>
    <xf numFmtId="0" fontId="0" fillId="3" borderId="11" xfId="0" applyFill="1" applyBorder="1" applyAlignment="1">
      <alignment horizontal="right" indent="1"/>
    </xf>
    <xf numFmtId="0" fontId="15" fillId="2" borderId="50" xfId="0" applyFont="1" applyFill="1" applyBorder="1"/>
    <xf numFmtId="0" fontId="15" fillId="2" borderId="43" xfId="0" applyFont="1" applyFill="1" applyBorder="1"/>
    <xf numFmtId="0" fontId="15" fillId="2" borderId="51" xfId="0" applyFont="1" applyFill="1" applyBorder="1"/>
    <xf numFmtId="0" fontId="8" fillId="18" borderId="11" xfId="0" applyFont="1" applyFill="1" applyBorder="1"/>
    <xf numFmtId="0" fontId="8" fillId="23" borderId="48" xfId="0" applyFont="1" applyFill="1" applyBorder="1"/>
    <xf numFmtId="0" fontId="8" fillId="6" borderId="65" xfId="0" applyFont="1" applyFill="1" applyBorder="1" applyAlignment="1">
      <alignment horizontal="right" indent="1"/>
    </xf>
    <xf numFmtId="0" fontId="8" fillId="23" borderId="66" xfId="0" applyFont="1" applyFill="1" applyBorder="1"/>
    <xf numFmtId="0" fontId="8" fillId="6" borderId="11" xfId="0" applyFont="1" applyFill="1" applyBorder="1" applyAlignment="1">
      <alignment horizontal="left" indent="1"/>
    </xf>
    <xf numFmtId="0" fontId="8" fillId="6" borderId="9" xfId="0" applyFont="1" applyFill="1" applyBorder="1"/>
    <xf numFmtId="0" fontId="8" fillId="23" borderId="50" xfId="0" applyFont="1" applyFill="1" applyBorder="1"/>
    <xf numFmtId="0" fontId="8" fillId="6" borderId="43" xfId="0" applyFont="1" applyFill="1" applyBorder="1" applyAlignment="1">
      <alignment horizontal="right" indent="1"/>
    </xf>
    <xf numFmtId="0" fontId="8" fillId="3" borderId="11" xfId="0" applyFont="1" applyFill="1" applyBorder="1" applyAlignment="1">
      <alignment horizontal="right" indent="1"/>
    </xf>
    <xf numFmtId="0" fontId="8" fillId="6" borderId="65" xfId="0" applyFont="1" applyFill="1" applyBorder="1" applyAlignment="1">
      <alignment horizontal="right"/>
    </xf>
    <xf numFmtId="0" fontId="8" fillId="6" borderId="49" xfId="0" applyFont="1" applyFill="1" applyBorder="1" applyAlignment="1">
      <alignment horizontal="right"/>
    </xf>
    <xf numFmtId="0" fontId="13" fillId="6" borderId="43" xfId="0" applyFont="1" applyFill="1" applyBorder="1" applyAlignment="1">
      <alignment horizontal="left"/>
    </xf>
    <xf numFmtId="0" fontId="7" fillId="21" borderId="0" xfId="0" applyFont="1" applyFill="1" applyAlignment="1">
      <alignment horizontal="center"/>
    </xf>
    <xf numFmtId="0" fontId="8" fillId="6" borderId="11" xfId="0" applyFont="1" applyFill="1" applyBorder="1" applyAlignment="1">
      <alignment horizontal="right"/>
    </xf>
    <xf numFmtId="0" fontId="8" fillId="6" borderId="67" xfId="0" applyFont="1" applyFill="1" applyBorder="1" applyAlignment="1">
      <alignment horizontal="right"/>
    </xf>
    <xf numFmtId="0" fontId="8" fillId="18" borderId="11" xfId="0" applyFont="1" applyFill="1" applyBorder="1" applyAlignment="1">
      <alignment horizontal="right"/>
    </xf>
    <xf numFmtId="165" fontId="8" fillId="8" borderId="28" xfId="0" applyNumberFormat="1" applyFont="1" applyFill="1" applyBorder="1" applyAlignment="1">
      <alignment horizontal="center"/>
    </xf>
    <xf numFmtId="165" fontId="8" fillId="20" borderId="28" xfId="0" applyNumberFormat="1" applyFont="1" applyFill="1" applyBorder="1"/>
    <xf numFmtId="0" fontId="8" fillId="6" borderId="43" xfId="0" applyFont="1" applyFill="1" applyBorder="1" applyAlignment="1">
      <alignment horizontal="left" indent="1"/>
    </xf>
    <xf numFmtId="0" fontId="8" fillId="18" borderId="16" xfId="0" applyFont="1" applyFill="1" applyBorder="1"/>
    <xf numFmtId="165" fontId="13" fillId="6" borderId="54" xfId="0" applyNumberFormat="1" applyFont="1" applyFill="1" applyBorder="1" applyAlignment="1">
      <alignment horizontal="center"/>
    </xf>
    <xf numFmtId="0" fontId="13" fillId="18" borderId="11" xfId="0" applyFont="1" applyFill="1" applyBorder="1" applyAlignment="1">
      <alignment horizontal="right"/>
    </xf>
    <xf numFmtId="0" fontId="13" fillId="18" borderId="11" xfId="0" applyFont="1" applyFill="1" applyBorder="1"/>
    <xf numFmtId="0" fontId="8" fillId="6" borderId="51" xfId="0" applyFont="1" applyFill="1" applyBorder="1" applyAlignment="1">
      <alignment horizontal="right"/>
    </xf>
    <xf numFmtId="0" fontId="0" fillId="0" borderId="0" xfId="0" applyAlignment="1">
      <alignment horizontal="right" indent="1"/>
    </xf>
    <xf numFmtId="0" fontId="4" fillId="0" borderId="37" xfId="0" applyFont="1" applyBorder="1"/>
    <xf numFmtId="0" fontId="27" fillId="30" borderId="37" xfId="0" applyFont="1" applyFill="1" applyBorder="1"/>
    <xf numFmtId="0" fontId="18" fillId="41" borderId="65" xfId="0" applyFont="1" applyFill="1" applyBorder="1" applyAlignment="1">
      <alignment vertical="center"/>
    </xf>
    <xf numFmtId="9" fontId="8" fillId="41" borderId="65" xfId="0" applyNumberFormat="1" applyFont="1" applyFill="1" applyBorder="1" applyAlignment="1">
      <alignment horizontal="right" vertical="center" indent="1"/>
    </xf>
    <xf numFmtId="173" fontId="8" fillId="41" borderId="65" xfId="0" applyNumberFormat="1" applyFont="1" applyFill="1" applyBorder="1" applyAlignment="1">
      <alignment horizontal="center" vertical="center"/>
    </xf>
    <xf numFmtId="0" fontId="8" fillId="41" borderId="43" xfId="0" applyFont="1" applyFill="1" applyBorder="1" applyAlignment="1">
      <alignment horizontal="right" vertical="center" indent="1"/>
    </xf>
    <xf numFmtId="0" fontId="8" fillId="25" borderId="11" xfId="0" applyFont="1" applyFill="1" applyBorder="1" applyAlignment="1">
      <alignment horizontal="left" vertical="top" wrapText="1"/>
    </xf>
    <xf numFmtId="0" fontId="13" fillId="18" borderId="43" xfId="0" applyFont="1" applyFill="1" applyBorder="1" applyAlignment="1">
      <alignment horizontal="left" wrapText="1"/>
    </xf>
    <xf numFmtId="0" fontId="8" fillId="18" borderId="43" xfId="0" applyFont="1" applyFill="1" applyBorder="1"/>
    <xf numFmtId="0" fontId="63" fillId="69" borderId="66" xfId="0" applyFont="1" applyFill="1" applyBorder="1"/>
    <xf numFmtId="0" fontId="63" fillId="69" borderId="11" xfId="0" applyFont="1" applyFill="1" applyBorder="1"/>
    <xf numFmtId="0" fontId="8" fillId="69" borderId="11" xfId="0" applyFont="1" applyFill="1" applyBorder="1" applyAlignment="1">
      <alignment horizontal="right" vertical="center"/>
    </xf>
    <xf numFmtId="0" fontId="13" fillId="69" borderId="11" xfId="0" applyFont="1" applyFill="1" applyBorder="1" applyAlignment="1">
      <alignment vertical="center"/>
    </xf>
    <xf numFmtId="0" fontId="63" fillId="69" borderId="11" xfId="0" applyFont="1" applyFill="1" applyBorder="1" applyAlignment="1">
      <alignment vertical="center"/>
    </xf>
    <xf numFmtId="0" fontId="12" fillId="18" borderId="11" xfId="0" applyFont="1" applyFill="1" applyBorder="1"/>
    <xf numFmtId="2" fontId="8" fillId="41" borderId="11" xfId="0" applyNumberFormat="1" applyFont="1" applyFill="1" applyBorder="1" applyAlignment="1">
      <alignment horizontal="right" vertical="center" indent="1"/>
    </xf>
    <xf numFmtId="0" fontId="12" fillId="18" borderId="11" xfId="0" applyFont="1" applyFill="1" applyBorder="1" applyAlignment="1">
      <alignment vertical="top"/>
    </xf>
    <xf numFmtId="2" fontId="43" fillId="41" borderId="11" xfId="0" applyNumberFormat="1" applyFont="1" applyFill="1" applyBorder="1" applyAlignment="1">
      <alignment horizontal="right" vertical="center" indent="1"/>
    </xf>
    <xf numFmtId="0" fontId="63" fillId="69" borderId="11" xfId="0" applyFont="1" applyFill="1" applyBorder="1" applyAlignment="1">
      <alignment horizontal="center" vertical="center"/>
    </xf>
    <xf numFmtId="0" fontId="13" fillId="18" borderId="11" xfId="0" applyFont="1" applyFill="1" applyBorder="1" applyAlignment="1">
      <alignment vertical="top" wrapText="1"/>
    </xf>
    <xf numFmtId="0" fontId="13" fillId="18" borderId="11" xfId="0" applyFont="1" applyFill="1" applyBorder="1" applyAlignment="1">
      <alignment wrapText="1"/>
    </xf>
    <xf numFmtId="0" fontId="13" fillId="18" borderId="43" xfId="0" applyFont="1" applyFill="1" applyBorder="1" applyAlignment="1">
      <alignment wrapText="1"/>
    </xf>
    <xf numFmtId="0" fontId="8" fillId="69" borderId="11" xfId="0" applyFont="1" applyFill="1" applyBorder="1" applyAlignment="1">
      <alignment horizontal="right" vertical="center" indent="1"/>
    </xf>
    <xf numFmtId="0" fontId="57" fillId="69" borderId="11" xfId="0" applyFont="1" applyFill="1" applyBorder="1" applyAlignment="1">
      <alignment vertical="center"/>
    </xf>
    <xf numFmtId="0" fontId="8" fillId="18" borderId="11" xfId="0" applyFont="1" applyFill="1" applyBorder="1" applyAlignment="1">
      <alignment horizontal="left" vertical="top" wrapText="1"/>
    </xf>
    <xf numFmtId="169" fontId="8" fillId="18" borderId="11" xfId="0" applyNumberFormat="1" applyFont="1" applyFill="1" applyBorder="1" applyAlignment="1">
      <alignment vertical="top"/>
    </xf>
    <xf numFmtId="0" fontId="8" fillId="70" borderId="11" xfId="0" applyFont="1" applyFill="1" applyBorder="1"/>
    <xf numFmtId="0" fontId="8" fillId="70" borderId="11" xfId="0" applyFont="1" applyFill="1" applyBorder="1" applyAlignment="1">
      <alignment horizontal="right" indent="1"/>
    </xf>
    <xf numFmtId="0" fontId="57" fillId="42" borderId="0" xfId="0" applyFont="1" applyFill="1"/>
    <xf numFmtId="0" fontId="13" fillId="3" borderId="11" xfId="0" applyFont="1" applyFill="1" applyBorder="1"/>
    <xf numFmtId="0" fontId="13" fillId="69" borderId="16" xfId="0" applyFont="1" applyFill="1" applyBorder="1" applyAlignment="1">
      <alignment horizontal="left" vertical="center"/>
    </xf>
    <xf numFmtId="0" fontId="13" fillId="69" borderId="11" xfId="0" applyFont="1" applyFill="1" applyBorder="1" applyAlignment="1">
      <alignment horizontal="right" indent="1"/>
    </xf>
    <xf numFmtId="0" fontId="65" fillId="79" borderId="11" xfId="0" applyFont="1" applyFill="1" applyBorder="1" applyAlignment="1">
      <alignment horizontal="center" vertical="center"/>
    </xf>
    <xf numFmtId="0" fontId="8" fillId="69" borderId="11" xfId="0" applyFont="1" applyFill="1" applyBorder="1" applyAlignment="1">
      <alignment vertical="center"/>
    </xf>
    <xf numFmtId="49" fontId="8" fillId="18" borderId="11" xfId="0" applyNumberFormat="1" applyFont="1" applyFill="1" applyBorder="1" applyAlignment="1">
      <alignment vertical="top"/>
    </xf>
    <xf numFmtId="0" fontId="8" fillId="79" borderId="109" xfId="0" applyFont="1" applyFill="1" applyBorder="1" applyAlignment="1">
      <alignment horizontal="center" vertical="center" wrapText="1"/>
    </xf>
    <xf numFmtId="0" fontId="8" fillId="79" borderId="4" xfId="0" applyFont="1" applyFill="1" applyBorder="1" applyAlignment="1">
      <alignment horizontal="center" vertical="center" wrapText="1"/>
    </xf>
    <xf numFmtId="0" fontId="8" fillId="69" borderId="11" xfId="0" applyFont="1" applyFill="1" applyBorder="1" applyAlignment="1">
      <alignment horizontal="right" indent="1"/>
    </xf>
    <xf numFmtId="0" fontId="64" fillId="63" borderId="11" xfId="0" applyFont="1" applyFill="1" applyBorder="1" applyAlignment="1">
      <alignment horizontal="center" vertical="center"/>
    </xf>
    <xf numFmtId="0" fontId="63" fillId="63" borderId="11" xfId="0" applyFont="1" applyFill="1" applyBorder="1" applyAlignment="1">
      <alignment horizontal="center" vertical="center" wrapText="1"/>
    </xf>
    <xf numFmtId="0" fontId="13" fillId="18" borderId="11" xfId="0" applyFont="1" applyFill="1" applyBorder="1" applyAlignment="1">
      <alignment horizontal="left" wrapText="1"/>
    </xf>
    <xf numFmtId="0" fontId="8" fillId="69" borderId="11" xfId="0" applyFont="1" applyFill="1" applyBorder="1" applyAlignment="1">
      <alignment horizontal="center"/>
    </xf>
    <xf numFmtId="0" fontId="8" fillId="73" borderId="11" xfId="0" applyFont="1" applyFill="1" applyBorder="1" applyAlignment="1">
      <alignment horizontal="center"/>
    </xf>
    <xf numFmtId="164" fontId="8" fillId="31" borderId="11" xfId="0" applyNumberFormat="1" applyFont="1" applyFill="1" applyBorder="1"/>
    <xf numFmtId="168" fontId="8" fillId="32" borderId="11" xfId="0" applyNumberFormat="1" applyFont="1" applyFill="1" applyBorder="1"/>
    <xf numFmtId="0" fontId="13" fillId="69" borderId="16" xfId="0" applyFont="1" applyFill="1" applyBorder="1" applyAlignment="1">
      <alignment horizontal="right" indent="1"/>
    </xf>
    <xf numFmtId="0" fontId="8" fillId="73" borderId="67" xfId="0" applyFont="1" applyFill="1" applyBorder="1" applyAlignment="1">
      <alignment horizontal="center"/>
    </xf>
    <xf numFmtId="0" fontId="66" fillId="69" borderId="48" xfId="0" applyFont="1" applyFill="1" applyBorder="1" applyAlignment="1">
      <alignment horizontal="left" indent="1"/>
    </xf>
    <xf numFmtId="0" fontId="66" fillId="69" borderId="65" xfId="0" applyFont="1" applyFill="1" applyBorder="1" applyAlignment="1">
      <alignment horizontal="center"/>
    </xf>
    <xf numFmtId="0" fontId="8" fillId="69" borderId="49" xfId="0" applyFont="1" applyFill="1" applyBorder="1" applyAlignment="1">
      <alignment horizontal="center"/>
    </xf>
    <xf numFmtId="2" fontId="8" fillId="14" borderId="0" xfId="0" applyNumberFormat="1" applyFont="1" applyFill="1" applyAlignment="1">
      <alignment horizontal="left"/>
    </xf>
    <xf numFmtId="37" fontId="8" fillId="63" borderId="11" xfId="0" applyNumberFormat="1" applyFont="1" applyFill="1" applyBorder="1" applyAlignment="1">
      <alignment horizontal="center" vertical="center"/>
    </xf>
    <xf numFmtId="168" fontId="8" fillId="63" borderId="67" xfId="0" applyNumberFormat="1" applyFont="1" applyFill="1" applyBorder="1" applyAlignment="1">
      <alignment vertical="center"/>
    </xf>
    <xf numFmtId="0" fontId="63" fillId="73" borderId="11" xfId="0" applyFont="1" applyFill="1" applyBorder="1"/>
    <xf numFmtId="0" fontId="8" fillId="63" borderId="11" xfId="0" applyFont="1" applyFill="1" applyBorder="1" applyAlignment="1">
      <alignment horizontal="right" indent="1"/>
    </xf>
    <xf numFmtId="3" fontId="63" fillId="63" borderId="11" xfId="0" applyNumberFormat="1" applyFont="1" applyFill="1" applyBorder="1" applyAlignment="1">
      <alignment horizontal="center"/>
    </xf>
    <xf numFmtId="0" fontId="63" fillId="73" borderId="66" xfId="0" applyFont="1" applyFill="1" applyBorder="1"/>
    <xf numFmtId="37" fontId="8" fillId="70" borderId="11" xfId="0" applyNumberFormat="1" applyFont="1" applyFill="1" applyBorder="1" applyAlignment="1">
      <alignment horizontal="center"/>
    </xf>
    <xf numFmtId="37" fontId="8" fillId="81" borderId="11" xfId="0" applyNumberFormat="1" applyFont="1" applyFill="1" applyBorder="1" applyAlignment="1">
      <alignment horizontal="center"/>
    </xf>
    <xf numFmtId="4" fontId="8" fillId="70" borderId="16" xfId="0" applyNumberFormat="1" applyFont="1" applyFill="1" applyBorder="1" applyAlignment="1">
      <alignment horizontal="right" indent="1"/>
    </xf>
    <xf numFmtId="4" fontId="8" fillId="70" borderId="16" xfId="0" applyNumberFormat="1" applyFont="1" applyFill="1" applyBorder="1" applyAlignment="1">
      <alignment horizontal="center"/>
    </xf>
    <xf numFmtId="3" fontId="13" fillId="70" borderId="11" xfId="0" applyNumberFormat="1" applyFont="1" applyFill="1" applyBorder="1" applyAlignment="1">
      <alignment horizontal="right" indent="1"/>
    </xf>
    <xf numFmtId="3" fontId="13" fillId="70" borderId="11" xfId="0" applyNumberFormat="1" applyFont="1" applyFill="1" applyBorder="1" applyAlignment="1">
      <alignment horizontal="center"/>
    </xf>
    <xf numFmtId="3" fontId="13" fillId="70" borderId="11" xfId="0" applyNumberFormat="1" applyFont="1" applyFill="1" applyBorder="1" applyAlignment="1">
      <alignment horizontal="right"/>
    </xf>
    <xf numFmtId="173" fontId="8" fillId="41" borderId="43" xfId="0" applyNumberFormat="1" applyFont="1" applyFill="1" applyBorder="1" applyAlignment="1">
      <alignment horizontal="center" vertical="center"/>
    </xf>
    <xf numFmtId="173" fontId="8" fillId="41" borderId="11" xfId="0" applyNumberFormat="1" applyFont="1" applyFill="1" applyBorder="1" applyAlignment="1">
      <alignment horizontal="center" vertical="center"/>
    </xf>
    <xf numFmtId="165" fontId="8" fillId="41" borderId="11" xfId="0" applyNumberFormat="1" applyFont="1" applyFill="1" applyBorder="1" applyAlignment="1">
      <alignment horizontal="center" vertical="center"/>
    </xf>
    <xf numFmtId="0" fontId="8" fillId="42" borderId="50" xfId="0" applyFont="1" applyFill="1" applyBorder="1"/>
    <xf numFmtId="3" fontId="13" fillId="70" borderId="43" xfId="0" applyNumberFormat="1" applyFont="1" applyFill="1" applyBorder="1" applyAlignment="1">
      <alignment horizontal="right"/>
    </xf>
    <xf numFmtId="3" fontId="13" fillId="70" borderId="43" xfId="0" applyNumberFormat="1" applyFont="1" applyFill="1" applyBorder="1" applyAlignment="1">
      <alignment horizontal="center"/>
    </xf>
    <xf numFmtId="168" fontId="8" fillId="63" borderId="51" xfId="0" applyNumberFormat="1" applyFont="1" applyFill="1" applyBorder="1" applyAlignment="1">
      <alignment vertical="center"/>
    </xf>
    <xf numFmtId="0" fontId="8" fillId="18" borderId="11" xfId="0" applyFont="1" applyFill="1" applyBorder="1" applyAlignment="1">
      <alignment vertical="top"/>
    </xf>
    <xf numFmtId="0" fontId="63" fillId="74" borderId="66" xfId="0" applyFont="1" applyFill="1" applyBorder="1"/>
    <xf numFmtId="0" fontId="63" fillId="74" borderId="11" xfId="0" applyFont="1" applyFill="1" applyBorder="1"/>
    <xf numFmtId="0" fontId="13" fillId="74" borderId="11" xfId="0" applyFont="1" applyFill="1" applyBorder="1" applyAlignment="1">
      <alignment vertical="center"/>
    </xf>
    <xf numFmtId="0" fontId="63" fillId="74" borderId="11" xfId="0" applyFont="1" applyFill="1" applyBorder="1" applyAlignment="1">
      <alignment vertical="center"/>
    </xf>
    <xf numFmtId="0" fontId="8" fillId="6" borderId="49" xfId="0" applyFont="1" applyFill="1" applyBorder="1" applyAlignment="1">
      <alignment vertical="center"/>
    </xf>
    <xf numFmtId="0" fontId="13" fillId="74" borderId="16" xfId="0" applyFont="1" applyFill="1" applyBorder="1" applyAlignment="1">
      <alignment horizontal="left" vertical="center"/>
    </xf>
    <xf numFmtId="0" fontId="8" fillId="21" borderId="43" xfId="0" applyFont="1" applyFill="1" applyBorder="1"/>
    <xf numFmtId="0" fontId="13" fillId="74" borderId="11" xfId="0" applyFont="1" applyFill="1" applyBorder="1" applyAlignment="1">
      <alignment horizontal="right" indent="1"/>
    </xf>
    <xf numFmtId="0" fontId="65" fillId="75" borderId="11" xfId="0" applyFont="1" applyFill="1" applyBorder="1" applyAlignment="1">
      <alignment horizontal="center" vertical="center"/>
    </xf>
    <xf numFmtId="0" fontId="13" fillId="6" borderId="67" xfId="0" applyFont="1" applyFill="1" applyBorder="1" applyAlignment="1">
      <alignment vertical="center"/>
    </xf>
    <xf numFmtId="0" fontId="8" fillId="74" borderId="11" xfId="0" applyFont="1" applyFill="1" applyBorder="1" applyAlignment="1">
      <alignment vertical="center"/>
    </xf>
    <xf numFmtId="0" fontId="8" fillId="74" borderId="11" xfId="0" applyFont="1" applyFill="1" applyBorder="1" applyAlignment="1">
      <alignment horizontal="right" indent="1"/>
    </xf>
    <xf numFmtId="0" fontId="64" fillId="76" borderId="11" xfId="0" applyFont="1" applyFill="1" applyBorder="1" applyAlignment="1">
      <alignment horizontal="center" vertical="center"/>
    </xf>
    <xf numFmtId="0" fontId="63" fillId="76" borderId="11" xfId="0" applyFont="1" applyFill="1" applyBorder="1" applyAlignment="1">
      <alignment horizontal="center" vertical="center" wrapText="1"/>
    </xf>
    <xf numFmtId="0" fontId="8" fillId="74" borderId="11" xfId="0" applyFont="1" applyFill="1" applyBorder="1" applyAlignment="1">
      <alignment horizontal="center"/>
    </xf>
    <xf numFmtId="0" fontId="13" fillId="6" borderId="67" xfId="0" applyFont="1" applyFill="1" applyBorder="1" applyAlignment="1">
      <alignment horizontal="center" vertical="center" wrapText="1"/>
    </xf>
    <xf numFmtId="0" fontId="13" fillId="74" borderId="16" xfId="0" applyFont="1" applyFill="1" applyBorder="1" applyAlignment="1">
      <alignment horizontal="right" indent="1"/>
    </xf>
    <xf numFmtId="0" fontId="66" fillId="74" borderId="11" xfId="0" applyFont="1" applyFill="1" applyBorder="1" applyAlignment="1">
      <alignment horizontal="left" indent="1"/>
    </xf>
    <xf numFmtId="37" fontId="8" fillId="76" borderId="11" xfId="0" applyNumberFormat="1" applyFont="1" applyFill="1" applyBorder="1" applyAlignment="1">
      <alignment horizontal="center" vertical="center"/>
    </xf>
    <xf numFmtId="168" fontId="8" fillId="76" borderId="67" xfId="0" applyNumberFormat="1" applyFont="1" applyFill="1" applyBorder="1" applyAlignment="1">
      <alignment vertical="center"/>
    </xf>
    <xf numFmtId="0" fontId="18" fillId="29" borderId="0" xfId="0" applyFont="1" applyFill="1"/>
    <xf numFmtId="0" fontId="20" fillId="29" borderId="0" xfId="0" applyFont="1" applyFill="1"/>
    <xf numFmtId="0" fontId="8" fillId="78" borderId="11" xfId="0" applyFont="1" applyFill="1" applyBorder="1" applyAlignment="1">
      <alignment horizontal="right" indent="1"/>
    </xf>
    <xf numFmtId="37" fontId="8" fillId="78" borderId="11" xfId="0" applyNumberFormat="1" applyFont="1" applyFill="1" applyBorder="1" applyAlignment="1">
      <alignment horizontal="center"/>
    </xf>
    <xf numFmtId="0" fontId="43" fillId="74" borderId="11" xfId="0" applyFont="1" applyFill="1" applyBorder="1" applyAlignment="1">
      <alignment vertical="center"/>
    </xf>
    <xf numFmtId="4" fontId="8" fillId="78" borderId="16" xfId="0" applyNumberFormat="1" applyFont="1" applyFill="1" applyBorder="1" applyAlignment="1">
      <alignment horizontal="right" indent="1"/>
    </xf>
    <xf numFmtId="4" fontId="8" fillId="78" borderId="16" xfId="0" applyNumberFormat="1" applyFont="1" applyFill="1" applyBorder="1" applyAlignment="1">
      <alignment horizontal="center"/>
    </xf>
    <xf numFmtId="0" fontId="8" fillId="21" borderId="11" xfId="0" applyFont="1" applyFill="1" applyBorder="1"/>
    <xf numFmtId="3" fontId="13" fillId="78" borderId="11" xfId="0" applyNumberFormat="1" applyFont="1" applyFill="1" applyBorder="1" applyAlignment="1">
      <alignment horizontal="right" indent="1"/>
    </xf>
    <xf numFmtId="3" fontId="13" fillId="78" borderId="11" xfId="0" applyNumberFormat="1" applyFont="1" applyFill="1" applyBorder="1" applyAlignment="1">
      <alignment horizontal="center"/>
    </xf>
    <xf numFmtId="3" fontId="13" fillId="78" borderId="11" xfId="0" applyNumberFormat="1" applyFont="1" applyFill="1" applyBorder="1" applyAlignment="1">
      <alignment horizontal="right"/>
    </xf>
    <xf numFmtId="3" fontId="8" fillId="78" borderId="43" xfId="0" applyNumberFormat="1" applyFont="1" applyFill="1" applyBorder="1" applyAlignment="1">
      <alignment horizontal="right"/>
    </xf>
    <xf numFmtId="177" fontId="8" fillId="78" borderId="43" xfId="0" applyNumberFormat="1" applyFont="1" applyFill="1" applyBorder="1" applyAlignment="1">
      <alignment horizontal="center"/>
    </xf>
    <xf numFmtId="3" fontId="13" fillId="6" borderId="11" xfId="0" applyNumberFormat="1" applyFont="1" applyFill="1" applyBorder="1" applyAlignment="1">
      <alignment horizontal="center" vertical="center"/>
    </xf>
    <xf numFmtId="0" fontId="8" fillId="6" borderId="11" xfId="0" applyFont="1" applyFill="1" applyBorder="1" applyAlignment="1">
      <alignment horizontal="right" vertical="center" indent="1"/>
    </xf>
    <xf numFmtId="165" fontId="8" fillId="6" borderId="11" xfId="0" applyNumberFormat="1" applyFont="1" applyFill="1" applyBorder="1" applyAlignment="1">
      <alignment horizontal="center" vertical="center"/>
    </xf>
    <xf numFmtId="0" fontId="8" fillId="21" borderId="50" xfId="0" applyFont="1" applyFill="1" applyBorder="1"/>
    <xf numFmtId="3" fontId="13" fillId="78" borderId="43" xfId="0" applyNumberFormat="1" applyFont="1" applyFill="1" applyBorder="1" applyAlignment="1">
      <alignment horizontal="right"/>
    </xf>
    <xf numFmtId="3" fontId="13" fillId="78" borderId="43" xfId="0" applyNumberFormat="1" applyFont="1" applyFill="1" applyBorder="1" applyAlignment="1">
      <alignment horizontal="center"/>
    </xf>
    <xf numFmtId="168" fontId="8" fillId="76" borderId="51" xfId="0" applyNumberFormat="1" applyFont="1" applyFill="1" applyBorder="1" applyAlignment="1">
      <alignment vertical="center"/>
    </xf>
    <xf numFmtId="0" fontId="8" fillId="29" borderId="66" xfId="0" applyFont="1" applyFill="1" applyBorder="1" applyAlignment="1">
      <alignment vertical="center"/>
    </xf>
    <xf numFmtId="0" fontId="43" fillId="5" borderId="11" xfId="0" applyFont="1" applyFill="1" applyBorder="1" applyAlignment="1">
      <alignment vertical="top" wrapText="1"/>
    </xf>
    <xf numFmtId="0" fontId="8" fillId="3" borderId="67" xfId="0" applyFont="1" applyFill="1" applyBorder="1"/>
    <xf numFmtId="0" fontId="13" fillId="43" borderId="48" xfId="0" applyFont="1" applyFill="1" applyBorder="1" applyAlignment="1">
      <alignment vertical="center"/>
    </xf>
    <xf numFmtId="0" fontId="8" fillId="29" borderId="11" xfId="0" applyFont="1" applyFill="1" applyBorder="1" applyAlignment="1">
      <alignment vertical="center"/>
    </xf>
    <xf numFmtId="0" fontId="8" fillId="42" borderId="101" xfId="0" applyFont="1" applyFill="1" applyBorder="1"/>
    <xf numFmtId="0" fontId="13" fillId="69" borderId="96" xfId="0" applyFont="1" applyFill="1" applyBorder="1" applyAlignment="1">
      <alignment horizontal="right" indent="1"/>
    </xf>
    <xf numFmtId="0" fontId="8" fillId="42" borderId="67" xfId="0" applyFont="1" applyFill="1" applyBorder="1"/>
    <xf numFmtId="0" fontId="8" fillId="69" borderId="98" xfId="0" applyFont="1" applyFill="1" applyBorder="1" applyAlignment="1">
      <alignment horizontal="right" indent="1"/>
    </xf>
    <xf numFmtId="0" fontId="8" fillId="41" borderId="66" xfId="0" applyFont="1" applyFill="1" applyBorder="1" applyAlignment="1">
      <alignment horizontal="left" vertical="center"/>
    </xf>
    <xf numFmtId="0" fontId="8" fillId="69" borderId="121" xfId="0" applyFont="1" applyFill="1" applyBorder="1" applyAlignment="1">
      <alignment horizontal="right" indent="1"/>
    </xf>
    <xf numFmtId="0" fontId="8" fillId="69" borderId="43" xfId="0" applyFont="1" applyFill="1" applyBorder="1" applyAlignment="1">
      <alignment horizontal="right" indent="1"/>
    </xf>
    <xf numFmtId="3" fontId="8" fillId="69" borderId="11" xfId="0" applyNumberFormat="1" applyFont="1" applyFill="1" applyBorder="1" applyAlignment="1">
      <alignment horizontal="center"/>
    </xf>
    <xf numFmtId="3" fontId="8" fillId="42" borderId="0" xfId="0" applyNumberFormat="1" applyFont="1" applyFill="1" applyAlignment="1">
      <alignment horizontal="center"/>
    </xf>
    <xf numFmtId="0" fontId="8" fillId="29" borderId="11" xfId="0" applyFont="1" applyFill="1" applyBorder="1" applyAlignment="1">
      <alignment horizontal="right" vertical="center" indent="1"/>
    </xf>
    <xf numFmtId="0" fontId="13" fillId="69" borderId="97" xfId="0" applyFont="1" applyFill="1" applyBorder="1" applyAlignment="1">
      <alignment horizontal="right" indent="1"/>
    </xf>
    <xf numFmtId="170" fontId="65" fillId="42" borderId="54" xfId="0" applyNumberFormat="1" applyFont="1" applyFill="1" applyBorder="1" applyAlignment="1">
      <alignment horizontal="center" vertical="center"/>
    </xf>
    <xf numFmtId="170" fontId="13" fillId="41" borderId="54" xfId="0" applyNumberFormat="1" applyFont="1" applyFill="1" applyBorder="1" applyAlignment="1">
      <alignment horizontal="center" vertical="center"/>
    </xf>
    <xf numFmtId="0" fontId="8" fillId="69" borderId="96" xfId="0" applyFont="1" applyFill="1" applyBorder="1"/>
    <xf numFmtId="0" fontId="8" fillId="69" borderId="100" xfId="0" applyFont="1" applyFill="1" applyBorder="1"/>
    <xf numFmtId="0" fontId="13" fillId="41" borderId="37" xfId="0" applyFont="1" applyFill="1" applyBorder="1" applyAlignment="1">
      <alignment horizontal="left" vertical="center"/>
    </xf>
    <xf numFmtId="0" fontId="8" fillId="42" borderId="37" xfId="0" applyFont="1" applyFill="1" applyBorder="1" applyAlignment="1">
      <alignment horizontal="right"/>
    </xf>
    <xf numFmtId="3" fontId="8" fillId="69" borderId="99" xfId="0" applyNumberFormat="1" applyFont="1" applyFill="1" applyBorder="1" applyAlignment="1">
      <alignment horizontal="center"/>
    </xf>
    <xf numFmtId="3" fontId="8" fillId="69" borderId="96" xfId="0" applyNumberFormat="1" applyFont="1" applyFill="1" applyBorder="1" applyAlignment="1">
      <alignment horizontal="center"/>
    </xf>
    <xf numFmtId="0" fontId="13" fillId="41" borderId="43" xfId="0" applyFont="1" applyFill="1" applyBorder="1" applyAlignment="1">
      <alignment horizontal="left" vertical="center"/>
    </xf>
    <xf numFmtId="0" fontId="13" fillId="69" borderId="98" xfId="0" applyFont="1" applyFill="1" applyBorder="1" applyAlignment="1">
      <alignment horizontal="right" indent="1"/>
    </xf>
    <xf numFmtId="3" fontId="65" fillId="42" borderId="54" xfId="0" applyNumberFormat="1" applyFont="1" applyFill="1" applyBorder="1" applyAlignment="1">
      <alignment horizontal="center"/>
    </xf>
    <xf numFmtId="3" fontId="65" fillId="42" borderId="42" xfId="0" applyNumberFormat="1" applyFont="1" applyFill="1" applyBorder="1" applyAlignment="1">
      <alignment horizontal="center"/>
    </xf>
    <xf numFmtId="3" fontId="63" fillId="42" borderId="11" xfId="0" applyNumberFormat="1" applyFont="1" applyFill="1" applyBorder="1" applyAlignment="1">
      <alignment horizontal="center"/>
    </xf>
    <xf numFmtId="0" fontId="8" fillId="42" borderId="37" xfId="0" applyFont="1" applyFill="1" applyBorder="1"/>
    <xf numFmtId="0" fontId="13" fillId="41" borderId="37" xfId="0" applyFont="1" applyFill="1" applyBorder="1" applyAlignment="1">
      <alignment horizontal="right" vertical="center" indent="1"/>
    </xf>
    <xf numFmtId="166" fontId="13" fillId="73" borderId="102" xfId="5" applyNumberFormat="1" applyFont="1" applyFill="1" applyBorder="1" applyAlignment="1" applyProtection="1">
      <alignment horizontal="center"/>
    </xf>
    <xf numFmtId="166" fontId="13" fillId="41" borderId="102" xfId="0" applyNumberFormat="1" applyFont="1" applyFill="1" applyBorder="1" applyAlignment="1">
      <alignment horizontal="center" vertical="center"/>
    </xf>
    <xf numFmtId="166" fontId="13" fillId="73" borderId="54" xfId="5" applyNumberFormat="1" applyFont="1" applyFill="1" applyBorder="1" applyAlignment="1" applyProtection="1">
      <alignment horizontal="center"/>
    </xf>
    <xf numFmtId="0" fontId="12" fillId="14" borderId="0" xfId="0" applyFont="1" applyFill="1"/>
    <xf numFmtId="0" fontId="12" fillId="5" borderId="11" xfId="0" applyFont="1" applyFill="1" applyBorder="1" applyAlignment="1">
      <alignment vertical="top" wrapText="1"/>
    </xf>
    <xf numFmtId="0" fontId="8" fillId="6" borderId="48" xfId="0" applyFont="1" applyFill="1" applyBorder="1" applyAlignment="1">
      <alignment vertical="center"/>
    </xf>
    <xf numFmtId="0" fontId="8" fillId="6" borderId="65" xfId="0" applyFont="1" applyFill="1" applyBorder="1" applyAlignment="1">
      <alignment vertical="center"/>
    </xf>
    <xf numFmtId="0" fontId="8" fillId="6" borderId="66" xfId="0" applyFont="1" applyFill="1" applyBorder="1" applyAlignment="1">
      <alignment vertical="center"/>
    </xf>
    <xf numFmtId="0" fontId="8" fillId="6" borderId="11" xfId="0" applyFont="1" applyFill="1" applyBorder="1" applyAlignment="1">
      <alignment horizontal="left" vertical="center" indent="1"/>
    </xf>
    <xf numFmtId="0" fontId="8" fillId="21" borderId="67" xfId="0" applyFont="1" applyFill="1" applyBorder="1"/>
    <xf numFmtId="0" fontId="13" fillId="6" borderId="66" xfId="0" applyFont="1" applyFill="1" applyBorder="1" applyAlignment="1">
      <alignment horizontal="right" vertical="center"/>
    </xf>
    <xf numFmtId="4" fontId="8" fillId="6" borderId="18" xfId="0" applyNumberFormat="1" applyFont="1" applyFill="1" applyBorder="1" applyAlignment="1">
      <alignment horizontal="center" vertical="center"/>
    </xf>
    <xf numFmtId="9" fontId="13" fillId="6" borderId="54" xfId="0" applyNumberFormat="1" applyFont="1" applyFill="1" applyBorder="1" applyAlignment="1">
      <alignment horizontal="center" vertical="center"/>
    </xf>
    <xf numFmtId="0" fontId="12" fillId="18" borderId="11" xfId="0" applyFont="1" applyFill="1" applyBorder="1" applyAlignment="1">
      <alignment vertical="top" wrapText="1"/>
    </xf>
    <xf numFmtId="9" fontId="13" fillId="6" borderId="11" xfId="0" applyNumberFormat="1" applyFont="1" applyFill="1" applyBorder="1" applyAlignment="1">
      <alignment horizontal="center" vertical="center"/>
    </xf>
    <xf numFmtId="0" fontId="8" fillId="6" borderId="67" xfId="0" applyFont="1" applyFill="1" applyBorder="1" applyAlignment="1">
      <alignment horizontal="left" vertical="center" indent="1"/>
    </xf>
    <xf numFmtId="0" fontId="8" fillId="21" borderId="11" xfId="0" applyFont="1" applyFill="1" applyBorder="1" applyAlignment="1">
      <alignment horizontal="right" vertical="center" indent="1"/>
    </xf>
    <xf numFmtId="0" fontId="8" fillId="6" borderId="50" xfId="0" applyFont="1" applyFill="1" applyBorder="1" applyAlignment="1">
      <alignment vertical="center"/>
    </xf>
    <xf numFmtId="0" fontId="8" fillId="6" borderId="43" xfId="0" applyFont="1" applyFill="1" applyBorder="1" applyAlignment="1">
      <alignment vertical="center"/>
    </xf>
    <xf numFmtId="0" fontId="8" fillId="6" borderId="51" xfId="0" applyFont="1" applyFill="1" applyBorder="1" applyAlignment="1">
      <alignment vertical="center"/>
    </xf>
    <xf numFmtId="0" fontId="5" fillId="2" borderId="11" xfId="0" applyFont="1" applyFill="1" applyBorder="1" applyAlignment="1">
      <alignment horizontal="center"/>
    </xf>
    <xf numFmtId="0" fontId="0" fillId="3" borderId="11" xfId="0" applyFill="1" applyBorder="1" applyAlignment="1">
      <alignment horizontal="center"/>
    </xf>
    <xf numFmtId="0" fontId="7" fillId="3" borderId="37" xfId="0" applyFont="1" applyFill="1" applyBorder="1" applyAlignment="1">
      <alignment horizontal="center"/>
    </xf>
    <xf numFmtId="0" fontId="13" fillId="5" borderId="14" xfId="0" applyFont="1" applyFill="1" applyBorder="1" applyAlignment="1">
      <alignment wrapText="1"/>
    </xf>
    <xf numFmtId="0" fontId="13" fillId="5" borderId="11" xfId="0" applyFont="1" applyFill="1" applyBorder="1" applyAlignment="1">
      <alignment horizontal="center"/>
    </xf>
    <xf numFmtId="0" fontId="13" fillId="5" borderId="16" xfId="0" applyFont="1" applyFill="1" applyBorder="1" applyAlignment="1">
      <alignment horizontal="center"/>
    </xf>
    <xf numFmtId="0" fontId="8" fillId="5" borderId="11" xfId="0" applyFont="1" applyFill="1" applyBorder="1" applyAlignment="1">
      <alignment horizontal="center"/>
    </xf>
    <xf numFmtId="9" fontId="8" fillId="41" borderId="11" xfId="0" applyNumberFormat="1" applyFont="1" applyFill="1" applyBorder="1" applyAlignment="1">
      <alignment horizontal="center" vertical="center"/>
    </xf>
    <xf numFmtId="9" fontId="8" fillId="5" borderId="11" xfId="0" applyNumberFormat="1" applyFont="1" applyFill="1" applyBorder="1" applyAlignment="1">
      <alignment horizontal="center"/>
    </xf>
    <xf numFmtId="0" fontId="54" fillId="41" borderId="11" xfId="0" applyFont="1" applyFill="1" applyBorder="1" applyAlignment="1">
      <alignment horizontal="left" vertical="center"/>
    </xf>
    <xf numFmtId="0" fontId="13" fillId="42" borderId="11" xfId="0" applyFont="1" applyFill="1" applyBorder="1"/>
    <xf numFmtId="0" fontId="8" fillId="41" borderId="49" xfId="0" applyFont="1" applyFill="1" applyBorder="1" applyAlignment="1">
      <alignment horizontal="right" vertical="center" indent="1"/>
    </xf>
    <xf numFmtId="0" fontId="9" fillId="41" borderId="11" xfId="0" applyFont="1" applyFill="1" applyBorder="1" applyAlignment="1">
      <alignment horizontal="right" vertical="center" indent="1"/>
    </xf>
    <xf numFmtId="0" fontId="14" fillId="41" borderId="11" xfId="0" applyFont="1" applyFill="1" applyBorder="1" applyAlignment="1">
      <alignment horizontal="right" vertical="center" indent="1"/>
    </xf>
    <xf numFmtId="0" fontId="13" fillId="42" borderId="43" xfId="0" applyFont="1" applyFill="1" applyBorder="1"/>
    <xf numFmtId="167" fontId="8" fillId="41" borderId="43" xfId="0" applyNumberFormat="1" applyFont="1" applyFill="1" applyBorder="1" applyAlignment="1">
      <alignment horizontal="center" vertical="center"/>
    </xf>
    <xf numFmtId="0" fontId="8" fillId="18" borderId="11" xfId="0" applyFont="1" applyFill="1" applyBorder="1" applyAlignment="1">
      <alignment horizontal="center"/>
    </xf>
    <xf numFmtId="0" fontId="13" fillId="18" borderId="11" xfId="0" applyFont="1" applyFill="1" applyBorder="1" applyAlignment="1">
      <alignment horizontal="center"/>
    </xf>
    <xf numFmtId="0" fontId="0" fillId="14" borderId="0" xfId="0" applyFill="1"/>
    <xf numFmtId="0" fontId="13" fillId="18" borderId="16" xfId="0" applyFont="1" applyFill="1" applyBorder="1"/>
    <xf numFmtId="0" fontId="13" fillId="18" borderId="16" xfId="0" applyFont="1" applyFill="1" applyBorder="1" applyAlignment="1">
      <alignment horizontal="center"/>
    </xf>
    <xf numFmtId="0" fontId="54" fillId="41" borderId="11" xfId="0" applyFont="1" applyFill="1" applyBorder="1" applyAlignment="1">
      <alignment horizontal="left" vertical="center" indent="1"/>
    </xf>
    <xf numFmtId="0" fontId="0" fillId="14" borderId="0" xfId="0" applyFill="1" applyAlignment="1">
      <alignment horizontal="center"/>
    </xf>
    <xf numFmtId="0" fontId="8" fillId="42" borderId="67" xfId="0" applyFont="1" applyFill="1" applyBorder="1" applyAlignment="1">
      <alignment horizontal="right" indent="1"/>
    </xf>
    <xf numFmtId="0" fontId="8" fillId="6" borderId="65" xfId="0" applyFont="1" applyFill="1" applyBorder="1" applyAlignment="1">
      <alignment horizontal="right" vertical="center"/>
    </xf>
    <xf numFmtId="0" fontId="8" fillId="6" borderId="65" xfId="0" applyFont="1" applyFill="1" applyBorder="1" applyAlignment="1">
      <alignment horizontal="center" vertical="center"/>
    </xf>
    <xf numFmtId="0" fontId="13" fillId="21" borderId="43" xfId="0" applyFont="1" applyFill="1" applyBorder="1"/>
    <xf numFmtId="0" fontId="13" fillId="21" borderId="43" xfId="0" applyFont="1" applyFill="1" applyBorder="1" applyAlignment="1">
      <alignment horizontal="center"/>
    </xf>
    <xf numFmtId="0" fontId="8" fillId="22" borderId="11" xfId="0" applyFont="1" applyFill="1" applyBorder="1" applyAlignment="1">
      <alignment vertical="center"/>
    </xf>
    <xf numFmtId="0" fontId="13" fillId="20" borderId="54" xfId="0" applyFont="1" applyFill="1" applyBorder="1" applyAlignment="1">
      <alignment horizontal="center" vertical="center"/>
    </xf>
    <xf numFmtId="0" fontId="8" fillId="22" borderId="11" xfId="0" applyFont="1" applyFill="1" applyBorder="1" applyAlignment="1">
      <alignment horizontal="right" vertical="center" indent="1"/>
    </xf>
    <xf numFmtId="0" fontId="54" fillId="6" borderId="11" xfId="0" applyFont="1" applyFill="1" applyBorder="1" applyAlignment="1">
      <alignment horizontal="left" vertical="center"/>
    </xf>
    <xf numFmtId="0" fontId="0" fillId="24" borderId="11" xfId="0" applyFill="1" applyBorder="1" applyAlignment="1">
      <alignment horizontal="center"/>
    </xf>
    <xf numFmtId="0" fontId="0" fillId="29" borderId="0" xfId="0" applyFill="1" applyAlignment="1">
      <alignment horizontal="left"/>
    </xf>
    <xf numFmtId="0" fontId="17" fillId="3" borderId="11" xfId="0" applyFont="1" applyFill="1" applyBorder="1" applyAlignment="1">
      <alignment horizontal="center"/>
    </xf>
    <xf numFmtId="0" fontId="17" fillId="30" borderId="11" xfId="0" applyFont="1" applyFill="1" applyBorder="1" applyAlignment="1">
      <alignment horizontal="left"/>
    </xf>
    <xf numFmtId="0" fontId="27" fillId="30" borderId="37" xfId="0" applyFont="1" applyFill="1" applyBorder="1" applyAlignment="1">
      <alignment horizontal="left"/>
    </xf>
    <xf numFmtId="0" fontId="8" fillId="6" borderId="49" xfId="0" applyFont="1" applyFill="1" applyBorder="1" applyAlignment="1">
      <alignment horizontal="right" vertical="center"/>
    </xf>
    <xf numFmtId="0" fontId="8" fillId="6" borderId="43" xfId="0" applyFont="1" applyFill="1" applyBorder="1" applyAlignment="1">
      <alignment horizontal="center" vertical="center"/>
    </xf>
    <xf numFmtId="0" fontId="8" fillId="6" borderId="67" xfId="0" applyFont="1" applyFill="1" applyBorder="1" applyAlignment="1">
      <alignment horizontal="right" vertical="center"/>
    </xf>
    <xf numFmtId="170" fontId="8" fillId="6" borderId="11" xfId="0" applyNumberFormat="1" applyFont="1" applyFill="1" applyBorder="1" applyAlignment="1">
      <alignment horizontal="center" vertical="center"/>
    </xf>
    <xf numFmtId="167" fontId="8" fillId="6" borderId="11" xfId="0" applyNumberFormat="1" applyFont="1" applyFill="1" applyBorder="1" applyAlignment="1">
      <alignment horizontal="center" vertical="center"/>
    </xf>
    <xf numFmtId="0" fontId="8" fillId="35" borderId="17" xfId="0" applyFont="1" applyFill="1" applyBorder="1" applyAlignment="1">
      <alignment vertical="top" wrapText="1"/>
    </xf>
    <xf numFmtId="0" fontId="8" fillId="6" borderId="43" xfId="0" applyFont="1" applyFill="1" applyBorder="1" applyAlignment="1">
      <alignment horizontal="right" vertical="center"/>
    </xf>
    <xf numFmtId="0" fontId="8" fillId="6" borderId="51" xfId="0" applyFont="1" applyFill="1" applyBorder="1" applyAlignment="1">
      <alignment horizontal="right" vertical="center"/>
    </xf>
    <xf numFmtId="9" fontId="13" fillId="41" borderId="54" xfId="0" applyNumberFormat="1" applyFont="1" applyFill="1" applyBorder="1" applyAlignment="1">
      <alignment horizontal="center" vertical="center"/>
    </xf>
    <xf numFmtId="9" fontId="13" fillId="41" borderId="11" xfId="0" applyNumberFormat="1" applyFont="1" applyFill="1" applyBorder="1" applyAlignment="1">
      <alignment horizontal="center" vertical="center"/>
    </xf>
    <xf numFmtId="9" fontId="8" fillId="41" borderId="43" xfId="0" applyNumberFormat="1" applyFont="1" applyFill="1" applyBorder="1" applyAlignment="1">
      <alignment horizontal="center" vertical="center"/>
    </xf>
    <xf numFmtId="0" fontId="40" fillId="3" borderId="11" xfId="0" applyFont="1" applyFill="1" applyBorder="1"/>
    <xf numFmtId="0" fontId="9" fillId="14" borderId="11" xfId="0" applyFont="1" applyFill="1" applyBorder="1"/>
    <xf numFmtId="0" fontId="46" fillId="18" borderId="50" xfId="0" applyFont="1" applyFill="1" applyBorder="1" applyAlignment="1">
      <alignment horizontal="center"/>
    </xf>
    <xf numFmtId="0" fontId="13" fillId="18" borderId="43" xfId="0" applyFont="1" applyFill="1" applyBorder="1" applyAlignment="1">
      <alignment horizontal="center"/>
    </xf>
    <xf numFmtId="0" fontId="46" fillId="18" borderId="43" xfId="0" applyFont="1" applyFill="1" applyBorder="1" applyAlignment="1">
      <alignment horizontal="center"/>
    </xf>
    <xf numFmtId="0" fontId="13" fillId="18" borderId="51" xfId="0" applyFont="1" applyFill="1" applyBorder="1" applyAlignment="1">
      <alignment horizontal="center"/>
    </xf>
    <xf numFmtId="0" fontId="54" fillId="42" borderId="0" xfId="0" applyFont="1" applyFill="1" applyAlignment="1">
      <alignment horizontal="left"/>
    </xf>
    <xf numFmtId="1" fontId="45" fillId="18" borderId="11" xfId="0" applyNumberFormat="1" applyFont="1" applyFill="1" applyBorder="1" applyAlignment="1">
      <alignment horizontal="center"/>
    </xf>
    <xf numFmtId="167" fontId="8" fillId="18" borderId="11" xfId="0" applyNumberFormat="1" applyFont="1" applyFill="1" applyBorder="1" applyAlignment="1">
      <alignment horizontal="center"/>
    </xf>
    <xf numFmtId="0" fontId="42" fillId="30" borderId="11" xfId="0" applyFont="1" applyFill="1" applyBorder="1" applyAlignment="1">
      <alignment horizontal="left"/>
    </xf>
    <xf numFmtId="0" fontId="8" fillId="29" borderId="0" xfId="0" applyFont="1" applyFill="1" applyAlignment="1">
      <alignment horizontal="left"/>
    </xf>
    <xf numFmtId="0" fontId="8" fillId="44" borderId="11" xfId="0" applyFont="1" applyFill="1" applyBorder="1" applyAlignment="1">
      <alignment horizontal="left"/>
    </xf>
    <xf numFmtId="2" fontId="8" fillId="0" borderId="0" xfId="0" applyNumberFormat="1" applyFont="1"/>
    <xf numFmtId="0" fontId="8" fillId="18" borderId="11" xfId="0" applyFont="1" applyFill="1" applyBorder="1" applyAlignment="1">
      <alignment horizontal="right" vertical="top"/>
    </xf>
    <xf numFmtId="0" fontId="12" fillId="30" borderId="11" xfId="0" applyFont="1" applyFill="1" applyBorder="1" applyAlignment="1">
      <alignment horizontal="left"/>
    </xf>
    <xf numFmtId="0" fontId="8" fillId="42" borderId="11" xfId="0" applyFont="1" applyFill="1" applyBorder="1" applyAlignment="1">
      <alignment horizontal="center"/>
    </xf>
    <xf numFmtId="166" fontId="13" fillId="41" borderId="5" xfId="0" applyNumberFormat="1" applyFont="1" applyFill="1" applyBorder="1" applyAlignment="1">
      <alignment horizontal="center" vertical="center"/>
    </xf>
    <xf numFmtId="0" fontId="13" fillId="6" borderId="43" xfId="0" applyFont="1" applyFill="1" applyBorder="1" applyAlignment="1">
      <alignment horizontal="left" vertical="center"/>
    </xf>
    <xf numFmtId="0" fontId="54" fillId="21" borderId="0" xfId="0" applyFont="1" applyFill="1" applyAlignment="1">
      <alignment horizontal="left"/>
    </xf>
    <xf numFmtId="0" fontId="8" fillId="23" borderId="49" xfId="0" applyFont="1" applyFill="1" applyBorder="1"/>
    <xf numFmtId="0" fontId="8" fillId="23" borderId="67" xfId="0" applyFont="1" applyFill="1" applyBorder="1"/>
    <xf numFmtId="0" fontId="8" fillId="23" borderId="51" xfId="0" applyFont="1" applyFill="1" applyBorder="1"/>
    <xf numFmtId="0" fontId="5" fillId="2" borderId="11" xfId="0" applyFont="1" applyFill="1" applyBorder="1" applyAlignment="1">
      <alignment horizontal="center" vertical="center"/>
    </xf>
    <xf numFmtId="0" fontId="5" fillId="2" borderId="11" xfId="0" applyFont="1" applyFill="1" applyBorder="1" applyAlignment="1">
      <alignment horizontal="left" vertical="center"/>
    </xf>
    <xf numFmtId="0" fontId="5" fillId="2" borderId="11" xfId="0" applyFont="1" applyFill="1" applyBorder="1" applyAlignment="1">
      <alignment vertical="center"/>
    </xf>
    <xf numFmtId="0" fontId="13" fillId="5" borderId="16" xfId="0" applyFont="1" applyFill="1" applyBorder="1" applyAlignment="1">
      <alignment vertical="center"/>
    </xf>
    <xf numFmtId="0" fontId="8" fillId="5" borderId="16" xfId="0" applyFont="1" applyFill="1" applyBorder="1" applyAlignment="1">
      <alignment vertical="center"/>
    </xf>
    <xf numFmtId="0" fontId="8" fillId="5" borderId="11" xfId="0" applyFont="1" applyFill="1" applyBorder="1" applyAlignment="1">
      <alignment vertical="center"/>
    </xf>
    <xf numFmtId="0" fontId="8" fillId="43" borderId="48" xfId="0" applyFont="1" applyFill="1" applyBorder="1" applyAlignment="1">
      <alignment vertical="center"/>
    </xf>
    <xf numFmtId="0" fontId="13" fillId="41" borderId="16" xfId="0" applyFont="1" applyFill="1" applyBorder="1" applyAlignment="1">
      <alignment vertical="center"/>
    </xf>
    <xf numFmtId="0" fontId="8" fillId="5" borderId="11" xfId="0" applyFont="1" applyFill="1" applyBorder="1" applyAlignment="1">
      <alignment horizontal="right" vertical="center"/>
    </xf>
    <xf numFmtId="0" fontId="8" fillId="43" borderId="50" xfId="0" applyFont="1" applyFill="1" applyBorder="1" applyAlignment="1">
      <alignment vertical="center"/>
    </xf>
    <xf numFmtId="9" fontId="8" fillId="5" borderId="11" xfId="0" applyNumberFormat="1" applyFont="1" applyFill="1" applyBorder="1" applyAlignment="1">
      <alignment horizontal="left" vertical="center" indent="1"/>
    </xf>
    <xf numFmtId="0" fontId="54" fillId="41" borderId="66" xfId="0" applyFont="1" applyFill="1" applyBorder="1" applyAlignment="1">
      <alignment horizontal="left" vertical="center"/>
    </xf>
    <xf numFmtId="0" fontId="8" fillId="23" borderId="48" xfId="0" applyFont="1" applyFill="1" applyBorder="1" applyAlignment="1">
      <alignment vertical="center"/>
    </xf>
    <xf numFmtId="0" fontId="8" fillId="6" borderId="65" xfId="0" applyFont="1" applyFill="1" applyBorder="1" applyAlignment="1">
      <alignment horizontal="left" vertical="center"/>
    </xf>
    <xf numFmtId="0" fontId="8" fillId="5" borderId="11" xfId="0" applyFont="1" applyFill="1" applyBorder="1" applyAlignment="1">
      <alignment horizontal="left" vertical="center"/>
    </xf>
    <xf numFmtId="0" fontId="8" fillId="23" borderId="66" xfId="0" applyFont="1" applyFill="1" applyBorder="1" applyAlignment="1">
      <alignment vertical="center"/>
    </xf>
    <xf numFmtId="0" fontId="54" fillId="6" borderId="11" xfId="0" applyFont="1" applyFill="1" applyBorder="1" applyAlignment="1">
      <alignment horizontal="left" vertical="center" indent="1"/>
    </xf>
    <xf numFmtId="0" fontId="13" fillId="6" borderId="43" xfId="0" applyFont="1" applyFill="1" applyBorder="1" applyAlignment="1">
      <alignment horizontal="right" vertical="center" indent="1"/>
    </xf>
    <xf numFmtId="0" fontId="8" fillId="23" borderId="50" xfId="0" applyFont="1" applyFill="1" applyBorder="1" applyAlignment="1">
      <alignment vertical="center"/>
    </xf>
    <xf numFmtId="0" fontId="8" fillId="6" borderId="43" xfId="0" applyFont="1" applyFill="1" applyBorder="1" applyAlignment="1">
      <alignment horizontal="right" vertical="center" indent="1"/>
    </xf>
    <xf numFmtId="0" fontId="8" fillId="6" borderId="43" xfId="0" applyFont="1" applyFill="1" applyBorder="1" applyAlignment="1">
      <alignment horizontal="left" vertical="center"/>
    </xf>
    <xf numFmtId="0" fontId="7" fillId="30" borderId="37" xfId="0" applyFont="1" applyFill="1" applyBorder="1" applyAlignment="1">
      <alignment vertical="center"/>
    </xf>
    <xf numFmtId="0" fontId="4" fillId="29" borderId="37" xfId="0" applyFont="1" applyFill="1" applyBorder="1" applyAlignment="1">
      <alignment vertical="center"/>
    </xf>
    <xf numFmtId="0" fontId="27" fillId="29" borderId="37" xfId="0" applyFont="1" applyFill="1" applyBorder="1" applyAlignment="1">
      <alignment vertical="center"/>
    </xf>
    <xf numFmtId="0" fontId="10" fillId="3" borderId="11" xfId="0" applyFont="1" applyFill="1" applyBorder="1" applyAlignment="1">
      <alignment vertical="center"/>
    </xf>
    <xf numFmtId="0" fontId="8" fillId="5" borderId="11" xfId="0" applyFont="1" applyFill="1" applyBorder="1" applyAlignment="1">
      <alignment vertical="top"/>
    </xf>
    <xf numFmtId="0" fontId="10" fillId="3" borderId="11" xfId="0" applyFont="1" applyFill="1" applyBorder="1" applyAlignment="1">
      <alignment vertical="top"/>
    </xf>
    <xf numFmtId="0" fontId="0" fillId="23" borderId="48" xfId="0" applyFill="1" applyBorder="1" applyAlignment="1">
      <alignment vertical="center"/>
    </xf>
    <xf numFmtId="0" fontId="0" fillId="23" borderId="66" xfId="0" applyFill="1" applyBorder="1" applyAlignment="1">
      <alignment vertical="center"/>
    </xf>
    <xf numFmtId="0" fontId="13" fillId="6" borderId="16" xfId="0" applyFont="1" applyFill="1" applyBorder="1" applyAlignment="1">
      <alignment vertical="center"/>
    </xf>
    <xf numFmtId="0" fontId="54" fillId="6" borderId="66" xfId="0" applyFont="1" applyFill="1" applyBorder="1" applyAlignment="1">
      <alignment horizontal="left" vertical="center"/>
    </xf>
    <xf numFmtId="9" fontId="13" fillId="6" borderId="5" xfId="0" applyNumberFormat="1" applyFont="1" applyFill="1" applyBorder="1" applyAlignment="1">
      <alignment horizontal="center" vertical="center"/>
    </xf>
    <xf numFmtId="0" fontId="0" fillId="23" borderId="50" xfId="0" applyFill="1" applyBorder="1" applyAlignment="1">
      <alignment vertical="center"/>
    </xf>
    <xf numFmtId="0" fontId="0" fillId="21" borderId="43" xfId="0" applyFill="1" applyBorder="1" applyAlignment="1">
      <alignment vertical="center"/>
    </xf>
    <xf numFmtId="0" fontId="10" fillId="30" borderId="11" xfId="0" applyFont="1" applyFill="1" applyBorder="1" applyAlignment="1">
      <alignment vertical="center"/>
    </xf>
    <xf numFmtId="0" fontId="0" fillId="3" borderId="11" xfId="0" applyFill="1" applyBorder="1" applyAlignment="1">
      <alignment vertical="top"/>
    </xf>
    <xf numFmtId="9" fontId="13" fillId="41" borderId="5" xfId="0" applyNumberFormat="1" applyFont="1" applyFill="1" applyBorder="1" applyAlignment="1">
      <alignment horizontal="center" vertical="center"/>
    </xf>
    <xf numFmtId="0" fontId="4" fillId="21" borderId="16" xfId="0" applyFont="1" applyFill="1" applyBorder="1" applyAlignment="1">
      <alignment vertical="center"/>
    </xf>
    <xf numFmtId="0" fontId="7" fillId="14" borderId="43" xfId="0" applyFont="1" applyFill="1" applyBorder="1" applyAlignment="1">
      <alignment vertical="center"/>
    </xf>
    <xf numFmtId="0" fontId="0" fillId="14" borderId="43" xfId="0" applyFill="1" applyBorder="1" applyAlignment="1">
      <alignment vertical="center"/>
    </xf>
    <xf numFmtId="0" fontId="8" fillId="5" borderId="11" xfId="0" applyFont="1" applyFill="1" applyBorder="1" applyAlignment="1">
      <alignment horizontal="left" vertical="top"/>
    </xf>
    <xf numFmtId="0" fontId="8" fillId="5" borderId="11" xfId="0" applyFont="1" applyFill="1" applyBorder="1" applyAlignment="1">
      <alignment horizontal="center" vertical="top"/>
    </xf>
    <xf numFmtId="0" fontId="13" fillId="6" borderId="11" xfId="0" applyFont="1" applyFill="1" applyBorder="1" applyAlignment="1">
      <alignment vertical="center"/>
    </xf>
    <xf numFmtId="0" fontId="4" fillId="21" borderId="11" xfId="0" applyFont="1" applyFill="1" applyBorder="1" applyAlignment="1">
      <alignment vertical="center"/>
    </xf>
    <xf numFmtId="3" fontId="8" fillId="6" borderId="11" xfId="0" applyNumberFormat="1" applyFont="1" applyFill="1" applyBorder="1" applyAlignment="1">
      <alignment horizontal="center"/>
    </xf>
    <xf numFmtId="0" fontId="3" fillId="2" borderId="68" xfId="0" applyFont="1" applyFill="1" applyBorder="1" applyAlignment="1">
      <alignment vertical="center"/>
    </xf>
    <xf numFmtId="0" fontId="3" fillId="2" borderId="39" xfId="0" applyFont="1" applyFill="1" applyBorder="1" applyAlignment="1">
      <alignment vertical="center"/>
    </xf>
    <xf numFmtId="0" fontId="0" fillId="3" borderId="11" xfId="0" applyFill="1" applyBorder="1" applyAlignment="1">
      <alignment horizontal="left" vertical="center" indent="1"/>
    </xf>
    <xf numFmtId="0" fontId="19" fillId="39" borderId="11" xfId="0" applyFont="1" applyFill="1" applyBorder="1" applyAlignment="1">
      <alignment horizontal="left" vertical="center" indent="2"/>
    </xf>
    <xf numFmtId="0" fontId="8" fillId="40" borderId="11" xfId="0" applyFont="1" applyFill="1" applyBorder="1" applyAlignment="1">
      <alignment horizontal="left" vertical="center" indent="1"/>
    </xf>
    <xf numFmtId="0" fontId="59" fillId="39" borderId="11" xfId="0" applyFont="1" applyFill="1" applyBorder="1" applyAlignment="1">
      <alignment horizontal="left" vertical="top" indent="1"/>
    </xf>
    <xf numFmtId="0" fontId="14" fillId="65" borderId="89" xfId="0" applyFont="1" applyFill="1" applyBorder="1" applyAlignment="1">
      <alignment horizontal="left" vertical="center" indent="1"/>
    </xf>
    <xf numFmtId="0" fontId="14" fillId="65" borderId="11" xfId="0" applyFont="1" applyFill="1" applyBorder="1" applyAlignment="1">
      <alignment horizontal="left" vertical="top" indent="1"/>
    </xf>
    <xf numFmtId="0" fontId="14" fillId="65" borderId="89" xfId="0" applyFont="1" applyFill="1" applyBorder="1" applyAlignment="1">
      <alignment horizontal="left" vertical="top" indent="1"/>
    </xf>
    <xf numFmtId="0" fontId="11" fillId="65" borderId="11" xfId="0" applyFont="1" applyFill="1" applyBorder="1" applyAlignment="1">
      <alignment horizontal="left" vertical="center" indent="1"/>
    </xf>
    <xf numFmtId="0" fontId="8" fillId="30" borderId="11" xfId="0" applyFont="1" applyFill="1" applyBorder="1" applyAlignment="1">
      <alignment horizontal="left" vertical="center" indent="1"/>
    </xf>
    <xf numFmtId="0" fontId="0" fillId="30" borderId="11" xfId="0" applyFill="1" applyBorder="1" applyAlignment="1">
      <alignment horizontal="left" vertical="center" indent="1"/>
    </xf>
    <xf numFmtId="0" fontId="0" fillId="0" borderId="11" xfId="0" applyBorder="1" applyAlignment="1">
      <alignment horizontal="left" vertical="center" indent="1"/>
    </xf>
    <xf numFmtId="0" fontId="0" fillId="3" borderId="11" xfId="0" applyFill="1" applyBorder="1" applyAlignment="1">
      <alignment horizontal="right" vertical="center" indent="1"/>
    </xf>
    <xf numFmtId="0" fontId="19" fillId="39" borderId="11" xfId="0" applyFont="1" applyFill="1" applyBorder="1" applyAlignment="1">
      <alignment horizontal="right" vertical="center" indent="2"/>
    </xf>
    <xf numFmtId="0" fontId="8" fillId="40" borderId="11" xfId="0" applyFont="1" applyFill="1" applyBorder="1" applyAlignment="1">
      <alignment horizontal="right" vertical="center" indent="1"/>
    </xf>
    <xf numFmtId="0" fontId="59" fillId="39" borderId="11" xfId="0" applyFont="1" applyFill="1" applyBorder="1" applyAlignment="1">
      <alignment horizontal="right" vertical="top" indent="1"/>
    </xf>
    <xf numFmtId="0" fontId="14" fillId="65" borderId="89" xfId="0" applyFont="1" applyFill="1" applyBorder="1" applyAlignment="1">
      <alignment horizontal="right" vertical="center" indent="1"/>
    </xf>
    <xf numFmtId="0" fontId="14" fillId="65" borderId="11" xfId="0" applyFont="1" applyFill="1" applyBorder="1" applyAlignment="1">
      <alignment horizontal="right" vertical="top" indent="1"/>
    </xf>
    <xf numFmtId="0" fontId="14" fillId="65" borderId="89" xfId="0" applyFont="1" applyFill="1" applyBorder="1" applyAlignment="1">
      <alignment horizontal="right" vertical="top" indent="1"/>
    </xf>
    <xf numFmtId="0" fontId="11" fillId="65" borderId="11" xfId="0" applyFont="1" applyFill="1" applyBorder="1" applyAlignment="1">
      <alignment horizontal="right" vertical="center" indent="1"/>
    </xf>
    <xf numFmtId="0" fontId="8" fillId="30" borderId="11" xfId="0" applyFont="1" applyFill="1" applyBorder="1" applyAlignment="1">
      <alignment horizontal="right" vertical="center" indent="1"/>
    </xf>
    <xf numFmtId="0" fontId="0" fillId="30" borderId="11" xfId="0" applyFill="1" applyBorder="1" applyAlignment="1">
      <alignment horizontal="right" vertical="center" indent="1"/>
    </xf>
    <xf numFmtId="0" fontId="0" fillId="0" borderId="11" xfId="0" applyBorder="1" applyAlignment="1">
      <alignment horizontal="right" vertical="center" indent="1"/>
    </xf>
    <xf numFmtId="0" fontId="57" fillId="41" borderId="11" xfId="0" applyFont="1" applyFill="1" applyBorder="1" applyAlignment="1">
      <alignment horizontal="right" indent="1"/>
    </xf>
    <xf numFmtId="166" fontId="57" fillId="41" borderId="11" xfId="5" applyNumberFormat="1" applyFont="1" applyFill="1" applyBorder="1" applyAlignment="1" applyProtection="1">
      <alignment horizontal="right" indent="1"/>
    </xf>
    <xf numFmtId="3" fontId="57" fillId="41" borderId="11" xfId="5" applyNumberFormat="1" applyFont="1" applyFill="1" applyBorder="1" applyAlignment="1" applyProtection="1">
      <alignment horizontal="center"/>
    </xf>
    <xf numFmtId="4" fontId="8" fillId="40" borderId="11" xfId="0" applyNumberFormat="1" applyFont="1" applyFill="1" applyBorder="1" applyAlignment="1">
      <alignment horizontal="right" vertical="center" indent="1"/>
    </xf>
    <xf numFmtId="4" fontId="8" fillId="40" borderId="11" xfId="0" applyNumberFormat="1" applyFont="1" applyFill="1" applyBorder="1" applyAlignment="1">
      <alignment horizontal="center" vertical="center"/>
    </xf>
    <xf numFmtId="0" fontId="9" fillId="65" borderId="11" xfId="0" applyFont="1" applyFill="1" applyBorder="1" applyAlignment="1">
      <alignment horizontal="right" vertical="top" indent="1"/>
    </xf>
    <xf numFmtId="3" fontId="9" fillId="65" borderId="11" xfId="0" applyNumberFormat="1" applyFont="1" applyFill="1" applyBorder="1" applyAlignment="1">
      <alignment horizontal="center" vertical="top"/>
    </xf>
    <xf numFmtId="9" fontId="9" fillId="29" borderId="11" xfId="5" applyFont="1" applyFill="1" applyBorder="1" applyAlignment="1">
      <alignment horizontal="center"/>
    </xf>
    <xf numFmtId="0" fontId="11" fillId="29" borderId="11" xfId="5" applyNumberFormat="1" applyFont="1" applyFill="1" applyBorder="1" applyAlignment="1">
      <alignment horizontal="center"/>
    </xf>
    <xf numFmtId="0" fontId="8" fillId="30" borderId="90" xfId="0" applyFont="1" applyFill="1" applyBorder="1" applyAlignment="1">
      <alignment horizontal="center"/>
    </xf>
    <xf numFmtId="0" fontId="11" fillId="30" borderId="11" xfId="0" applyFont="1" applyFill="1" applyBorder="1" applyAlignment="1">
      <alignment horizontal="center"/>
    </xf>
    <xf numFmtId="0" fontId="15" fillId="82" borderId="11" xfId="0" applyFont="1" applyFill="1" applyBorder="1" applyAlignment="1">
      <alignment horizontal="center"/>
    </xf>
    <xf numFmtId="0" fontId="9" fillId="29" borderId="11" xfId="0" applyFont="1" applyFill="1" applyBorder="1"/>
    <xf numFmtId="0" fontId="4" fillId="19" borderId="11" xfId="6" applyFont="1" applyFill="1" applyAlignment="1">
      <alignment horizontal="center"/>
    </xf>
    <xf numFmtId="0" fontId="4" fillId="0" borderId="24" xfId="0" applyFont="1" applyBorder="1" applyAlignment="1">
      <alignment horizontal="center"/>
    </xf>
    <xf numFmtId="0" fontId="13" fillId="30" borderId="11" xfId="0" applyFont="1" applyFill="1" applyBorder="1"/>
    <xf numFmtId="0" fontId="8" fillId="30" borderId="11" xfId="0" applyFont="1" applyFill="1" applyBorder="1" applyAlignment="1">
      <alignment horizontal="center"/>
    </xf>
    <xf numFmtId="0" fontId="8" fillId="13" borderId="11" xfId="0" applyFont="1" applyFill="1" applyBorder="1" applyAlignment="1">
      <alignment vertical="top" wrapText="1"/>
    </xf>
    <xf numFmtId="0" fontId="23" fillId="30" borderId="11" xfId="0" applyFont="1" applyFill="1" applyBorder="1" applyAlignment="1">
      <alignment horizontal="right"/>
    </xf>
    <xf numFmtId="9" fontId="11" fillId="34" borderId="11" xfId="5" applyFont="1" applyFill="1" applyBorder="1" applyAlignment="1">
      <alignment horizontal="center"/>
    </xf>
    <xf numFmtId="0" fontId="11" fillId="29" borderId="11" xfId="0" applyFont="1" applyFill="1" applyBorder="1" applyAlignment="1">
      <alignment horizontal="center"/>
    </xf>
    <xf numFmtId="3" fontId="9" fillId="29" borderId="11" xfId="0" applyNumberFormat="1" applyFont="1" applyFill="1" applyBorder="1" applyAlignment="1">
      <alignment horizontal="center"/>
    </xf>
    <xf numFmtId="2" fontId="9" fillId="29" borderId="11" xfId="0" applyNumberFormat="1" applyFont="1" applyFill="1" applyBorder="1" applyAlignment="1">
      <alignment horizontal="center"/>
    </xf>
    <xf numFmtId="9" fontId="35" fillId="29" borderId="11" xfId="5" applyFont="1" applyFill="1" applyBorder="1" applyAlignment="1">
      <alignment horizontal="center"/>
    </xf>
    <xf numFmtId="9" fontId="11" fillId="30" borderId="11" xfId="5" applyFont="1" applyFill="1" applyBorder="1" applyAlignment="1">
      <alignment horizontal="center"/>
    </xf>
    <xf numFmtId="0" fontId="0" fillId="30" borderId="11" xfId="0" applyFill="1" applyBorder="1" applyAlignment="1">
      <alignment horizontal="center"/>
    </xf>
    <xf numFmtId="9" fontId="4" fillId="29" borderId="11" xfId="0" applyNumberFormat="1" applyFont="1" applyFill="1" applyBorder="1" applyAlignment="1">
      <alignment horizontal="center"/>
    </xf>
    <xf numFmtId="0" fontId="4" fillId="29" borderId="11" xfId="0" applyFont="1" applyFill="1" applyBorder="1" applyAlignment="1">
      <alignment horizontal="center"/>
    </xf>
    <xf numFmtId="0" fontId="7" fillId="30" borderId="90" xfId="0" applyFont="1" applyFill="1" applyBorder="1"/>
    <xf numFmtId="0" fontId="8" fillId="29" borderId="90" xfId="0" applyFont="1" applyFill="1" applyBorder="1"/>
    <xf numFmtId="0" fontId="8" fillId="13" borderId="90" xfId="0" applyFont="1" applyFill="1" applyBorder="1" applyAlignment="1">
      <alignment vertical="top" wrapText="1"/>
    </xf>
    <xf numFmtId="0" fontId="9" fillId="29" borderId="90" xfId="0" applyFont="1" applyFill="1" applyBorder="1" applyAlignment="1">
      <alignment horizontal="center"/>
    </xf>
    <xf numFmtId="0" fontId="4" fillId="29" borderId="90" xfId="0" applyFont="1" applyFill="1" applyBorder="1"/>
    <xf numFmtId="0" fontId="11" fillId="29" borderId="90" xfId="0" applyFont="1" applyFill="1" applyBorder="1" applyAlignment="1">
      <alignment horizontal="center"/>
    </xf>
    <xf numFmtId="0" fontId="4" fillId="29" borderId="21" xfId="0" applyFont="1" applyFill="1" applyBorder="1" applyAlignment="1">
      <alignment horizontal="center"/>
    </xf>
    <xf numFmtId="0" fontId="4" fillId="19" borderId="11" xfId="6" applyFont="1" applyFill="1" applyAlignment="1">
      <alignment horizontal="left"/>
    </xf>
    <xf numFmtId="0" fontId="9" fillId="19" borderId="11" xfId="6" applyFont="1" applyFill="1" applyAlignment="1">
      <alignment horizontal="center"/>
    </xf>
    <xf numFmtId="0" fontId="9" fillId="19" borderId="11" xfId="6" applyFont="1" applyFill="1" applyAlignment="1">
      <alignment horizontal="right"/>
    </xf>
    <xf numFmtId="3" fontId="9" fillId="19" borderId="11" xfId="6" applyNumberFormat="1" applyFont="1" applyFill="1" applyAlignment="1">
      <alignment horizontal="center"/>
    </xf>
    <xf numFmtId="166" fontId="9" fillId="19" borderId="11" xfId="6" applyNumberFormat="1" applyFont="1" applyFill="1" applyAlignment="1">
      <alignment horizontal="center"/>
    </xf>
    <xf numFmtId="0" fontId="44" fillId="19" borderId="11" xfId="6" applyFont="1" applyFill="1" applyAlignment="1">
      <alignment horizontal="right"/>
    </xf>
    <xf numFmtId="0" fontId="15" fillId="11" borderId="11" xfId="0" applyFont="1" applyFill="1" applyBorder="1" applyAlignment="1">
      <alignment horizontal="left" vertical="center" wrapText="1" indent="1"/>
    </xf>
    <xf numFmtId="0" fontId="21" fillId="30" borderId="11" xfId="0" applyFont="1" applyFill="1" applyBorder="1" applyAlignment="1">
      <alignment horizontal="left" indent="1"/>
    </xf>
    <xf numFmtId="0" fontId="22" fillId="30" borderId="11" xfId="0" applyFont="1" applyFill="1" applyBorder="1" applyAlignment="1">
      <alignment horizontal="left" vertical="top" wrapText="1" indent="1"/>
    </xf>
    <xf numFmtId="0" fontId="9" fillId="29" borderId="11" xfId="0" applyFont="1" applyFill="1" applyBorder="1" applyAlignment="1">
      <alignment horizontal="left" indent="1"/>
    </xf>
    <xf numFmtId="0" fontId="9" fillId="29" borderId="90" xfId="0" applyFont="1" applyFill="1" applyBorder="1" applyAlignment="1">
      <alignment horizontal="left" indent="1"/>
    </xf>
    <xf numFmtId="0" fontId="8" fillId="30" borderId="11" xfId="0" applyFont="1" applyFill="1" applyBorder="1" applyAlignment="1">
      <alignment horizontal="left" indent="1"/>
    </xf>
    <xf numFmtId="9" fontId="8" fillId="30" borderId="11" xfId="0" applyNumberFormat="1" applyFont="1" applyFill="1" applyBorder="1" applyAlignment="1">
      <alignment horizontal="left" indent="1"/>
    </xf>
    <xf numFmtId="9" fontId="9" fillId="30" borderId="11" xfId="0" applyNumberFormat="1" applyFont="1" applyFill="1" applyBorder="1" applyAlignment="1">
      <alignment horizontal="left" indent="1"/>
    </xf>
    <xf numFmtId="0" fontId="8" fillId="30" borderId="90" xfId="0" applyFont="1" applyFill="1" applyBorder="1" applyAlignment="1">
      <alignment horizontal="left" indent="1"/>
    </xf>
    <xf numFmtId="0" fontId="0" fillId="29" borderId="11" xfId="0" applyFill="1" applyBorder="1" applyAlignment="1">
      <alignment horizontal="left" indent="1"/>
    </xf>
    <xf numFmtId="0" fontId="4" fillId="29" borderId="11" xfId="0" applyFont="1" applyFill="1" applyBorder="1" applyAlignment="1">
      <alignment horizontal="left" indent="1"/>
    </xf>
    <xf numFmtId="0" fontId="15" fillId="11" borderId="11" xfId="0" applyFont="1" applyFill="1" applyBorder="1" applyAlignment="1">
      <alignment horizontal="right" vertical="center" indent="1"/>
    </xf>
    <xf numFmtId="0" fontId="13" fillId="30" borderId="11" xfId="0" applyFont="1" applyFill="1" applyBorder="1" applyAlignment="1">
      <alignment horizontal="right" indent="1"/>
    </xf>
    <xf numFmtId="0" fontId="13" fillId="30" borderId="90" xfId="0" applyFont="1" applyFill="1" applyBorder="1" applyAlignment="1">
      <alignment horizontal="right" indent="1"/>
    </xf>
    <xf numFmtId="0" fontId="8" fillId="30" borderId="11" xfId="0" applyFont="1" applyFill="1" applyBorder="1" applyAlignment="1">
      <alignment horizontal="right" indent="1"/>
    </xf>
    <xf numFmtId="9" fontId="8" fillId="30" borderId="11" xfId="0" applyNumberFormat="1" applyFont="1" applyFill="1" applyBorder="1" applyAlignment="1">
      <alignment horizontal="right" indent="1"/>
    </xf>
    <xf numFmtId="9" fontId="9" fillId="30" borderId="11" xfId="0" applyNumberFormat="1" applyFont="1" applyFill="1" applyBorder="1" applyAlignment="1">
      <alignment horizontal="right" indent="1"/>
    </xf>
    <xf numFmtId="0" fontId="8" fillId="30" borderId="90" xfId="0" applyFont="1" applyFill="1" applyBorder="1" applyAlignment="1">
      <alignment horizontal="right" indent="1"/>
    </xf>
    <xf numFmtId="0" fontId="9" fillId="29" borderId="90" xfId="0" applyFont="1" applyFill="1" applyBorder="1" applyAlignment="1">
      <alignment horizontal="right" indent="1"/>
    </xf>
    <xf numFmtId="0" fontId="0" fillId="29" borderId="11" xfId="0" applyFill="1" applyBorder="1" applyAlignment="1">
      <alignment horizontal="right" indent="1"/>
    </xf>
    <xf numFmtId="0" fontId="4" fillId="29" borderId="11" xfId="0" applyFont="1" applyFill="1" applyBorder="1" applyAlignment="1">
      <alignment horizontal="right" indent="1"/>
    </xf>
    <xf numFmtId="1" fontId="8" fillId="30" borderId="11" xfId="0" applyNumberFormat="1" applyFont="1" applyFill="1" applyBorder="1" applyAlignment="1">
      <alignment horizontal="right" indent="1"/>
    </xf>
    <xf numFmtId="1" fontId="8" fillId="30" borderId="11" xfId="0" applyNumberFormat="1" applyFont="1" applyFill="1" applyBorder="1" applyAlignment="1">
      <alignment horizontal="left" indent="1"/>
    </xf>
    <xf numFmtId="1" fontId="11" fillId="29" borderId="11" xfId="5" applyNumberFormat="1" applyFont="1" applyFill="1" applyBorder="1" applyAlignment="1">
      <alignment horizontal="center"/>
    </xf>
    <xf numFmtId="4" fontId="14" fillId="45" borderId="28" xfId="0" applyNumberFormat="1" applyFont="1" applyFill="1" applyBorder="1" applyAlignment="1">
      <alignment horizontal="center" vertical="center"/>
    </xf>
    <xf numFmtId="170" fontId="14" fillId="26" borderId="74" xfId="0" applyNumberFormat="1" applyFont="1" applyFill="1" applyBorder="1" applyAlignment="1" applyProtection="1">
      <alignment horizontal="center" vertical="center"/>
      <protection locked="0"/>
    </xf>
    <xf numFmtId="170" fontId="14" fillId="26" borderId="28" xfId="0" applyNumberFormat="1" applyFont="1" applyFill="1" applyBorder="1" applyAlignment="1" applyProtection="1">
      <alignment horizontal="center" vertical="center"/>
      <protection locked="0"/>
    </xf>
    <xf numFmtId="0" fontId="8" fillId="67" borderId="28" xfId="0" applyFont="1" applyFill="1" applyBorder="1" applyAlignment="1" applyProtection="1">
      <alignment horizontal="center" vertical="center"/>
      <protection locked="0"/>
    </xf>
    <xf numFmtId="0" fontId="8" fillId="10" borderId="95" xfId="0" applyFont="1" applyFill="1" applyBorder="1" applyAlignment="1" applyProtection="1">
      <alignment horizontal="right" indent="1"/>
      <protection locked="0"/>
    </xf>
    <xf numFmtId="166" fontId="13" fillId="73" borderId="102" xfId="5" applyNumberFormat="1" applyFont="1" applyFill="1" applyBorder="1" applyAlignment="1" applyProtection="1">
      <alignment horizontal="center"/>
      <protection locked="0"/>
    </xf>
    <xf numFmtId="171" fontId="8" fillId="7" borderId="109" xfId="0" applyNumberFormat="1" applyFont="1" applyFill="1" applyBorder="1" applyAlignment="1" applyProtection="1">
      <alignment horizontal="center" vertical="center"/>
      <protection locked="0"/>
    </xf>
    <xf numFmtId="171" fontId="8" fillId="7" borderId="4" xfId="0" applyNumberFormat="1" applyFont="1" applyFill="1" applyBorder="1" applyAlignment="1" applyProtection="1">
      <alignment horizontal="center" vertical="center"/>
      <protection locked="0"/>
    </xf>
    <xf numFmtId="0" fontId="63" fillId="10" borderId="111" xfId="0" applyFont="1" applyFill="1" applyBorder="1" applyAlignment="1" applyProtection="1">
      <alignment horizontal="center" vertical="center" wrapText="1"/>
      <protection locked="0"/>
    </xf>
    <xf numFmtId="0" fontId="63" fillId="10" borderId="112" xfId="0" applyFont="1" applyFill="1" applyBorder="1" applyAlignment="1" applyProtection="1">
      <alignment horizontal="center" vertical="center" wrapText="1"/>
      <protection locked="0"/>
    </xf>
    <xf numFmtId="0" fontId="63" fillId="10" borderId="113" xfId="0" applyFont="1" applyFill="1" applyBorder="1" applyAlignment="1" applyProtection="1">
      <alignment horizontal="center" vertical="center" wrapText="1"/>
      <protection locked="0"/>
    </xf>
    <xf numFmtId="0" fontId="63" fillId="10" borderId="114" xfId="0" applyFont="1" applyFill="1" applyBorder="1" applyAlignment="1" applyProtection="1">
      <alignment horizontal="center" vertical="center" wrapText="1"/>
      <protection locked="0"/>
    </xf>
    <xf numFmtId="0" fontId="63" fillId="10" borderId="109" xfId="0" applyFont="1" applyFill="1" applyBorder="1" applyAlignment="1" applyProtection="1">
      <alignment horizontal="center" vertical="center"/>
      <protection locked="0"/>
    </xf>
    <xf numFmtId="0" fontId="63" fillId="10" borderId="4" xfId="0" applyFont="1" applyFill="1" applyBorder="1" applyAlignment="1" applyProtection="1">
      <alignment horizontal="center" vertical="center"/>
      <protection locked="0"/>
    </xf>
    <xf numFmtId="0" fontId="63" fillId="10" borderId="110" xfId="0" applyFont="1" applyFill="1" applyBorder="1" applyAlignment="1" applyProtection="1">
      <alignment horizontal="center" vertical="center"/>
      <protection locked="0"/>
    </xf>
    <xf numFmtId="37" fontId="8" fillId="10" borderId="116" xfId="0" applyNumberFormat="1" applyFont="1" applyFill="1" applyBorder="1" applyAlignment="1" applyProtection="1">
      <alignment horizontal="center" vertical="center"/>
      <protection locked="0"/>
    </xf>
    <xf numFmtId="3" fontId="63" fillId="10" borderId="117" xfId="0" applyNumberFormat="1" applyFont="1" applyFill="1" applyBorder="1" applyAlignment="1" applyProtection="1">
      <alignment horizontal="center"/>
      <protection locked="0"/>
    </xf>
    <xf numFmtId="37" fontId="8" fillId="10" borderId="118" xfId="0" applyNumberFormat="1" applyFont="1" applyFill="1" applyBorder="1" applyAlignment="1" applyProtection="1">
      <alignment horizontal="center" vertical="center"/>
      <protection locked="0"/>
    </xf>
    <xf numFmtId="0" fontId="63" fillId="10" borderId="107" xfId="0" applyFont="1" applyFill="1" applyBorder="1" applyAlignment="1" applyProtection="1">
      <alignment horizontal="center" vertical="center"/>
      <protection locked="0"/>
    </xf>
    <xf numFmtId="0" fontId="63" fillId="10" borderId="108" xfId="0" applyFont="1" applyFill="1" applyBorder="1" applyAlignment="1" applyProtection="1">
      <alignment horizontal="center" vertical="center"/>
      <protection locked="0"/>
    </xf>
    <xf numFmtId="37" fontId="8" fillId="10" borderId="28" xfId="0" applyNumberFormat="1" applyFont="1" applyFill="1" applyBorder="1" applyAlignment="1" applyProtection="1">
      <alignment horizontal="center" vertical="center"/>
      <protection locked="0"/>
    </xf>
    <xf numFmtId="37" fontId="8" fillId="10" borderId="108" xfId="0" applyNumberFormat="1" applyFont="1" applyFill="1" applyBorder="1" applyAlignment="1" applyProtection="1">
      <alignment horizontal="center" vertical="center"/>
      <protection locked="0"/>
    </xf>
    <xf numFmtId="37" fontId="8" fillId="10" borderId="120" xfId="0" applyNumberFormat="1" applyFont="1" applyFill="1" applyBorder="1" applyAlignment="1" applyProtection="1">
      <alignment horizontal="center" vertical="center"/>
      <protection locked="0"/>
    </xf>
    <xf numFmtId="0" fontId="8" fillId="42" borderId="0" xfId="0" applyFont="1" applyFill="1" applyAlignment="1" applyProtection="1">
      <alignment horizontal="center" vertical="center"/>
      <protection locked="0"/>
    </xf>
    <xf numFmtId="1" fontId="8" fillId="45" borderId="11" xfId="0" applyNumberFormat="1" applyFont="1" applyFill="1" applyBorder="1" applyAlignment="1">
      <alignment horizontal="center" vertical="center"/>
    </xf>
    <xf numFmtId="0" fontId="13" fillId="30" borderId="37" xfId="0" applyFont="1" applyFill="1" applyBorder="1"/>
    <xf numFmtId="0" fontId="8" fillId="29" borderId="37" xfId="0" applyFont="1" applyFill="1" applyBorder="1"/>
    <xf numFmtId="0" fontId="9" fillId="29" borderId="37" xfId="0" applyFont="1" applyFill="1" applyBorder="1" applyAlignment="1">
      <alignment horizontal="center"/>
    </xf>
    <xf numFmtId="0" fontId="9" fillId="29" borderId="37" xfId="0" applyFont="1" applyFill="1" applyBorder="1"/>
    <xf numFmtId="0" fontId="8" fillId="42" borderId="65" xfId="0" applyFont="1" applyFill="1" applyBorder="1" applyAlignment="1">
      <alignment horizontal="center"/>
    </xf>
    <xf numFmtId="0" fontId="8" fillId="42" borderId="43" xfId="0" applyFont="1" applyFill="1" applyBorder="1" applyAlignment="1">
      <alignment horizontal="center"/>
    </xf>
    <xf numFmtId="0" fontId="57" fillId="42" borderId="11" xfId="0" applyFont="1" applyFill="1" applyBorder="1" applyAlignment="1">
      <alignment horizontal="center" wrapText="1"/>
    </xf>
    <xf numFmtId="0" fontId="57" fillId="42" borderId="11" xfId="0" applyFont="1" applyFill="1" applyBorder="1" applyAlignment="1">
      <alignment horizontal="center"/>
    </xf>
    <xf numFmtId="0" fontId="13" fillId="42" borderId="11" xfId="0" applyFont="1" applyFill="1" applyBorder="1" applyAlignment="1">
      <alignment horizontal="right" indent="1"/>
    </xf>
    <xf numFmtId="0" fontId="8" fillId="21" borderId="11" xfId="0" applyFont="1" applyFill="1" applyBorder="1" applyAlignment="1">
      <alignment horizontal="center"/>
    </xf>
    <xf numFmtId="0" fontId="8" fillId="23" borderId="43" xfId="0" applyFont="1" applyFill="1" applyBorder="1" applyAlignment="1">
      <alignment vertical="center"/>
    </xf>
    <xf numFmtId="0" fontId="8" fillId="23" borderId="43" xfId="0" applyFont="1" applyFill="1" applyBorder="1" applyAlignment="1">
      <alignment horizontal="center" vertical="center"/>
    </xf>
    <xf numFmtId="0" fontId="8" fillId="23" borderId="51" xfId="0" applyFont="1" applyFill="1" applyBorder="1" applyAlignment="1">
      <alignment vertical="center"/>
    </xf>
    <xf numFmtId="165" fontId="13" fillId="61" borderId="54" xfId="0" applyNumberFormat="1" applyFont="1" applyFill="1" applyBorder="1" applyAlignment="1">
      <alignment horizontal="center" vertical="center"/>
    </xf>
    <xf numFmtId="3" fontId="8" fillId="45" borderId="15" xfId="0" applyNumberFormat="1" applyFont="1" applyFill="1" applyBorder="1" applyAlignment="1">
      <alignment horizontal="center" vertical="center"/>
    </xf>
    <xf numFmtId="0" fontId="68" fillId="45" borderId="11" xfId="0" applyFont="1" applyFill="1" applyBorder="1" applyAlignment="1">
      <alignment vertical="center"/>
    </xf>
    <xf numFmtId="0" fontId="9" fillId="69" borderId="11" xfId="0" applyFont="1" applyFill="1" applyBorder="1" applyAlignment="1">
      <alignment vertical="center"/>
    </xf>
    <xf numFmtId="0" fontId="9" fillId="42" borderId="0" xfId="0" applyFont="1" applyFill="1"/>
    <xf numFmtId="0" fontId="14" fillId="69" borderId="11" xfId="0" applyFont="1" applyFill="1" applyBorder="1" applyAlignment="1">
      <alignment vertical="center"/>
    </xf>
    <xf numFmtId="0" fontId="0" fillId="42" borderId="0" xfId="0" applyFill="1"/>
    <xf numFmtId="37" fontId="9" fillId="81" borderId="11" xfId="0" applyNumberFormat="1" applyFont="1" applyFill="1" applyBorder="1" applyAlignment="1">
      <alignment horizontal="center"/>
    </xf>
    <xf numFmtId="0" fontId="67" fillId="41" borderId="11" xfId="0" applyFont="1" applyFill="1" applyBorder="1" applyAlignment="1">
      <alignment vertical="top" wrapText="1"/>
    </xf>
    <xf numFmtId="0" fontId="8" fillId="18" borderId="65" xfId="0" applyFont="1" applyFill="1" applyBorder="1" applyAlignment="1">
      <alignment horizontal="center"/>
    </xf>
    <xf numFmtId="0" fontId="13" fillId="18" borderId="67" xfId="0" applyFont="1" applyFill="1" applyBorder="1" applyAlignment="1">
      <alignment horizontal="center" vertical="center"/>
    </xf>
    <xf numFmtId="3" fontId="57" fillId="41" borderId="11" xfId="0" applyNumberFormat="1" applyFont="1" applyFill="1" applyBorder="1" applyAlignment="1">
      <alignment horizontal="left"/>
    </xf>
    <xf numFmtId="3" fontId="57" fillId="61" borderId="11" xfId="0" applyNumberFormat="1" applyFont="1" applyFill="1" applyBorder="1" applyAlignment="1">
      <alignment horizontal="left" vertical="center"/>
    </xf>
    <xf numFmtId="3" fontId="8" fillId="7" borderId="28" xfId="0" applyNumberFormat="1" applyFont="1" applyFill="1" applyBorder="1" applyAlignment="1" applyProtection="1">
      <alignment horizontal="right" vertical="center" indent="1"/>
      <protection locked="0"/>
    </xf>
    <xf numFmtId="0" fontId="8" fillId="18" borderId="48" xfId="0" applyFont="1" applyFill="1" applyBorder="1"/>
    <xf numFmtId="0" fontId="8" fillId="18" borderId="65" xfId="0" applyFont="1" applyFill="1" applyBorder="1"/>
    <xf numFmtId="0" fontId="8" fillId="18" borderId="49" xfId="0" applyFont="1" applyFill="1" applyBorder="1"/>
    <xf numFmtId="0" fontId="13" fillId="18" borderId="67" xfId="0" applyFont="1" applyFill="1" applyBorder="1" applyAlignment="1">
      <alignment vertical="top"/>
    </xf>
    <xf numFmtId="0" fontId="13" fillId="18" borderId="72" xfId="0" applyFont="1" applyFill="1" applyBorder="1" applyAlignment="1">
      <alignment horizontal="right" vertical="center"/>
    </xf>
    <xf numFmtId="0" fontId="13" fillId="18" borderId="72" xfId="0" applyFont="1" applyFill="1" applyBorder="1" applyAlignment="1">
      <alignment horizontal="right" vertical="top"/>
    </xf>
    <xf numFmtId="0" fontId="28" fillId="18" borderId="11" xfId="3" applyFill="1" applyBorder="1"/>
    <xf numFmtId="0" fontId="30" fillId="18" borderId="11" xfId="3" applyFont="1" applyFill="1" applyBorder="1" applyAlignment="1" applyProtection="1">
      <alignment vertical="top"/>
    </xf>
    <xf numFmtId="0" fontId="13" fillId="18" borderId="11" xfId="0" applyFont="1" applyFill="1" applyBorder="1" applyAlignment="1">
      <alignment horizontal="center" wrapText="1"/>
    </xf>
    <xf numFmtId="0" fontId="18" fillId="18" borderId="11" xfId="0" applyFont="1" applyFill="1" applyBorder="1" applyAlignment="1">
      <alignment horizontal="center"/>
    </xf>
    <xf numFmtId="0" fontId="13" fillId="18" borderId="43" xfId="0" applyFont="1" applyFill="1" applyBorder="1" applyAlignment="1">
      <alignment vertical="top" wrapText="1"/>
    </xf>
    <xf numFmtId="0" fontId="13" fillId="18" borderId="43" xfId="0" applyFont="1" applyFill="1" applyBorder="1" applyAlignment="1">
      <alignment horizontal="left" vertical="top" wrapText="1"/>
    </xf>
    <xf numFmtId="171" fontId="8" fillId="18" borderId="11" xfId="2" applyNumberFormat="1" applyFont="1" applyFill="1" applyBorder="1" applyAlignment="1">
      <alignment horizontal="left" vertical="top" wrapText="1"/>
    </xf>
    <xf numFmtId="173" fontId="8" fillId="18" borderId="11" xfId="0" applyNumberFormat="1" applyFont="1" applyFill="1" applyBorder="1" applyAlignment="1">
      <alignment horizontal="left" vertical="top"/>
    </xf>
    <xf numFmtId="49" fontId="8" fillId="18" borderId="11" xfId="0" applyNumberFormat="1" applyFont="1" applyFill="1" applyBorder="1" applyAlignment="1">
      <alignment horizontal="left" vertical="top"/>
    </xf>
    <xf numFmtId="0" fontId="8" fillId="18" borderId="43" xfId="0" applyFont="1" applyFill="1" applyBorder="1" applyAlignment="1">
      <alignment horizontal="left"/>
    </xf>
    <xf numFmtId="0" fontId="12" fillId="18" borderId="11" xfId="0" applyFont="1" applyFill="1" applyBorder="1" applyAlignment="1">
      <alignment horizontal="left"/>
    </xf>
    <xf numFmtId="0" fontId="8" fillId="14" borderId="0" xfId="0" applyFont="1" applyFill="1" applyAlignment="1">
      <alignment horizontal="left"/>
    </xf>
    <xf numFmtId="49" fontId="13" fillId="14" borderId="43" xfId="0" applyNumberFormat="1" applyFont="1" applyFill="1" applyBorder="1"/>
    <xf numFmtId="49" fontId="13" fillId="14" borderId="43" xfId="0" applyNumberFormat="1" applyFont="1" applyFill="1" applyBorder="1" applyAlignment="1">
      <alignment horizontal="left"/>
    </xf>
    <xf numFmtId="169" fontId="13" fillId="18" borderId="11" xfId="0" applyNumberFormat="1" applyFont="1" applyFill="1" applyBorder="1"/>
    <xf numFmtId="169" fontId="13" fillId="18" borderId="11" xfId="0" applyNumberFormat="1" applyFont="1" applyFill="1" applyBorder="1" applyAlignment="1">
      <alignment horizontal="center" vertical="top" wrapText="1"/>
    </xf>
    <xf numFmtId="0" fontId="8" fillId="41" borderId="48" xfId="0" applyFont="1" applyFill="1" applyBorder="1" applyAlignment="1">
      <alignment horizontal="right" vertical="center"/>
    </xf>
    <xf numFmtId="0" fontId="8" fillId="41" borderId="66" xfId="0" applyFont="1" applyFill="1" applyBorder="1" applyAlignment="1">
      <alignment horizontal="right" vertical="center"/>
    </xf>
    <xf numFmtId="3" fontId="8" fillId="61" borderId="11" xfId="0" applyNumberFormat="1" applyFont="1" applyFill="1" applyBorder="1" applyAlignment="1">
      <alignment horizontal="right" vertical="center" indent="1"/>
    </xf>
    <xf numFmtId="0" fontId="57" fillId="41" borderId="11" xfId="0" applyFont="1" applyFill="1" applyBorder="1" applyAlignment="1">
      <alignment horizontal="right" vertical="center" indent="1"/>
    </xf>
    <xf numFmtId="166" fontId="13" fillId="41" borderId="54" xfId="0" applyNumberFormat="1" applyFont="1" applyFill="1" applyBorder="1" applyAlignment="1">
      <alignment horizontal="center" vertical="center"/>
    </xf>
    <xf numFmtId="0" fontId="8" fillId="41" borderId="50" xfId="0" applyFont="1" applyFill="1" applyBorder="1" applyAlignment="1">
      <alignment horizontal="right" vertical="center"/>
    </xf>
    <xf numFmtId="0" fontId="8" fillId="41" borderId="51" xfId="0" applyFont="1" applyFill="1" applyBorder="1" applyAlignment="1">
      <alignment horizontal="right" vertical="center"/>
    </xf>
    <xf numFmtId="0" fontId="8" fillId="41" borderId="51" xfId="0" applyFont="1" applyFill="1" applyBorder="1" applyAlignment="1">
      <alignment horizontal="right" vertical="center" indent="1"/>
    </xf>
    <xf numFmtId="0" fontId="8" fillId="41" borderId="50" xfId="0" applyFont="1" applyFill="1" applyBorder="1" applyAlignment="1">
      <alignment horizontal="left" vertical="center" indent="1"/>
    </xf>
    <xf numFmtId="0" fontId="13" fillId="41" borderId="11" xfId="0" applyFont="1" applyFill="1" applyBorder="1" applyAlignment="1">
      <alignment horizontal="left" vertical="center"/>
    </xf>
    <xf numFmtId="0" fontId="61" fillId="21" borderId="43" xfId="0" applyFont="1" applyFill="1" applyBorder="1" applyAlignment="1">
      <alignment horizontal="left"/>
    </xf>
    <xf numFmtId="0" fontId="8" fillId="21" borderId="0" xfId="0" applyFont="1" applyFill="1" applyAlignment="1">
      <alignment horizontal="right" indent="1"/>
    </xf>
    <xf numFmtId="0" fontId="8" fillId="21" borderId="43" xfId="0" applyFont="1" applyFill="1" applyBorder="1" applyAlignment="1">
      <alignment horizontal="left" indent="1"/>
    </xf>
    <xf numFmtId="0" fontId="71" fillId="21" borderId="0" xfId="0" applyFont="1" applyFill="1" applyAlignment="1">
      <alignment horizontal="right" indent="1"/>
    </xf>
    <xf numFmtId="172" fontId="9" fillId="61" borderId="11" xfId="5" applyNumberFormat="1" applyFont="1" applyFill="1" applyBorder="1" applyAlignment="1" applyProtection="1">
      <alignment horizontal="center"/>
    </xf>
    <xf numFmtId="171" fontId="13" fillId="61" borderId="33" xfId="0" applyNumberFormat="1" applyFont="1" applyFill="1" applyBorder="1" applyAlignment="1">
      <alignment horizontal="center" vertical="center"/>
    </xf>
    <xf numFmtId="171" fontId="8" fillId="40" borderId="11" xfId="0" applyNumberFormat="1" applyFont="1" applyFill="1" applyBorder="1" applyAlignment="1">
      <alignment horizontal="center" vertical="center"/>
    </xf>
    <xf numFmtId="0" fontId="8" fillId="41" borderId="122" xfId="0" applyFont="1" applyFill="1" applyBorder="1" applyAlignment="1">
      <alignment horizontal="left" vertical="center" indent="1"/>
    </xf>
    <xf numFmtId="0" fontId="8" fillId="42" borderId="122" xfId="0" applyFont="1" applyFill="1" applyBorder="1"/>
    <xf numFmtId="171" fontId="13" fillId="41" borderId="102" xfId="0" applyNumberFormat="1" applyFont="1" applyFill="1" applyBorder="1" applyAlignment="1">
      <alignment horizontal="center" vertical="center"/>
    </xf>
    <xf numFmtId="0" fontId="13" fillId="41" borderId="37" xfId="0" applyFont="1" applyFill="1" applyBorder="1" applyAlignment="1">
      <alignment horizontal="center" vertical="center"/>
    </xf>
    <xf numFmtId="0" fontId="8" fillId="41" borderId="123" xfId="0" applyFont="1" applyFill="1" applyBorder="1" applyAlignment="1">
      <alignment horizontal="left" vertical="center" indent="1"/>
    </xf>
    <xf numFmtId="0" fontId="9" fillId="9" borderId="23" xfId="0" applyFont="1" applyFill="1" applyBorder="1" applyAlignment="1">
      <alignment horizontal="center" vertical="center"/>
    </xf>
    <xf numFmtId="0" fontId="9" fillId="9" borderId="44" xfId="0" applyFont="1" applyFill="1" applyBorder="1" applyAlignment="1">
      <alignment horizontal="center" vertical="center"/>
    </xf>
    <xf numFmtId="0" fontId="9" fillId="9" borderId="24" xfId="0" applyFont="1" applyFill="1" applyBorder="1" applyAlignment="1">
      <alignment horizontal="center" vertical="center"/>
    </xf>
    <xf numFmtId="0" fontId="3" fillId="2" borderId="11" xfId="0" applyFont="1" applyFill="1" applyBorder="1" applyAlignment="1">
      <alignment horizontal="left" vertical="center"/>
    </xf>
    <xf numFmtId="0" fontId="30" fillId="25" borderId="2" xfId="3" quotePrefix="1" applyFont="1" applyFill="1" applyBorder="1" applyProtection="1"/>
    <xf numFmtId="0" fontId="30" fillId="25" borderId="47" xfId="3" applyFont="1" applyFill="1" applyBorder="1" applyProtection="1"/>
    <xf numFmtId="0" fontId="30" fillId="25" borderId="45" xfId="3" applyFont="1" applyFill="1" applyBorder="1" applyProtection="1"/>
    <xf numFmtId="0" fontId="9" fillId="25" borderId="26" xfId="0" applyFont="1" applyFill="1" applyBorder="1" applyAlignment="1">
      <alignment horizontal="left" vertical="top" wrapText="1"/>
    </xf>
    <xf numFmtId="0" fontId="9" fillId="25" borderId="11" xfId="0" applyFont="1" applyFill="1" applyBorder="1" applyAlignment="1">
      <alignment horizontal="left" vertical="top" wrapText="1"/>
    </xf>
    <xf numFmtId="0" fontId="9" fillId="25" borderId="22" xfId="0" applyFont="1" applyFill="1" applyBorder="1" applyAlignment="1">
      <alignment horizontal="left" vertical="top" wrapText="1"/>
    </xf>
    <xf numFmtId="0" fontId="56" fillId="42" borderId="11" xfId="0" applyFont="1" applyFill="1" applyBorder="1" applyAlignment="1">
      <alignment vertical="top" wrapText="1"/>
    </xf>
    <xf numFmtId="0" fontId="7" fillId="3" borderId="94" xfId="0" applyFont="1" applyFill="1" applyBorder="1"/>
    <xf numFmtId="0" fontId="7" fillId="3" borderId="37" xfId="0" applyFont="1" applyFill="1" applyBorder="1"/>
    <xf numFmtId="2" fontId="9" fillId="67" borderId="48" xfId="0" applyNumberFormat="1" applyFont="1" applyFill="1" applyBorder="1" applyAlignment="1" applyProtection="1">
      <alignment horizontal="left" vertical="top" wrapText="1"/>
      <protection locked="0"/>
    </xf>
    <xf numFmtId="2" fontId="9" fillId="67" borderId="65" xfId="0" applyNumberFormat="1" applyFont="1" applyFill="1" applyBorder="1" applyAlignment="1" applyProtection="1">
      <alignment horizontal="left" vertical="top" wrapText="1"/>
      <protection locked="0"/>
    </xf>
    <xf numFmtId="2" fontId="9" fillId="67" borderId="49" xfId="0" applyNumberFormat="1" applyFont="1" applyFill="1" applyBorder="1" applyAlignment="1" applyProtection="1">
      <alignment horizontal="left" vertical="top" wrapText="1"/>
      <protection locked="0"/>
    </xf>
    <xf numFmtId="2" fontId="9" fillId="67" borderId="66" xfId="0" applyNumberFormat="1" applyFont="1" applyFill="1" applyBorder="1" applyAlignment="1" applyProtection="1">
      <alignment horizontal="left" vertical="top" wrapText="1"/>
      <protection locked="0"/>
    </xf>
    <xf numFmtId="2" fontId="9" fillId="67" borderId="11" xfId="0" applyNumberFormat="1" applyFont="1" applyFill="1" applyBorder="1" applyAlignment="1" applyProtection="1">
      <alignment horizontal="left" vertical="top" wrapText="1"/>
      <protection locked="0"/>
    </xf>
    <xf numFmtId="2" fontId="9" fillId="67" borderId="67" xfId="0" applyNumberFormat="1" applyFont="1" applyFill="1" applyBorder="1" applyAlignment="1" applyProtection="1">
      <alignment horizontal="left" vertical="top" wrapText="1"/>
      <protection locked="0"/>
    </xf>
    <xf numFmtId="2" fontId="9" fillId="67" borderId="50" xfId="0" applyNumberFormat="1" applyFont="1" applyFill="1" applyBorder="1" applyAlignment="1" applyProtection="1">
      <alignment horizontal="left" vertical="top" wrapText="1"/>
      <protection locked="0"/>
    </xf>
    <xf numFmtId="2" fontId="9" fillId="67" borderId="43" xfId="0" applyNumberFormat="1" applyFont="1" applyFill="1" applyBorder="1" applyAlignment="1" applyProtection="1">
      <alignment horizontal="left" vertical="top" wrapText="1"/>
      <protection locked="0"/>
    </xf>
    <xf numFmtId="2" fontId="9" fillId="67" borderId="51" xfId="0" applyNumberFormat="1" applyFont="1" applyFill="1" applyBorder="1" applyAlignment="1" applyProtection="1">
      <alignment horizontal="left" vertical="top" wrapText="1"/>
      <protection locked="0"/>
    </xf>
    <xf numFmtId="0" fontId="9" fillId="25" borderId="23" xfId="0" applyFont="1" applyFill="1" applyBorder="1" applyAlignment="1">
      <alignment vertical="top" wrapText="1"/>
    </xf>
    <xf numFmtId="0" fontId="9" fillId="25" borderId="44" xfId="0" applyFont="1" applyFill="1" applyBorder="1" applyAlignment="1">
      <alignment vertical="top" wrapText="1"/>
    </xf>
    <xf numFmtId="0" fontId="9" fillId="25" borderId="24" xfId="0" applyFont="1" applyFill="1" applyBorder="1" applyAlignment="1">
      <alignment vertical="top" wrapText="1"/>
    </xf>
    <xf numFmtId="0" fontId="9" fillId="25" borderId="26" xfId="0" applyFont="1" applyFill="1" applyBorder="1" applyAlignment="1">
      <alignment vertical="top" wrapText="1"/>
    </xf>
    <xf numFmtId="0" fontId="9" fillId="25" borderId="11" xfId="0" applyFont="1" applyFill="1" applyBorder="1" applyAlignment="1">
      <alignment vertical="top" wrapText="1"/>
    </xf>
    <xf numFmtId="0" fontId="9" fillId="25" borderId="22" xfId="0" applyFont="1" applyFill="1" applyBorder="1" applyAlignment="1">
      <alignment vertical="top" wrapText="1"/>
    </xf>
    <xf numFmtId="0" fontId="9" fillId="25" borderId="2" xfId="0" applyFont="1" applyFill="1" applyBorder="1" applyAlignment="1">
      <alignment vertical="top" wrapText="1"/>
    </xf>
    <xf numFmtId="0" fontId="9" fillId="25" borderId="47" xfId="0" applyFont="1" applyFill="1" applyBorder="1" applyAlignment="1">
      <alignment vertical="top" wrapText="1"/>
    </xf>
    <xf numFmtId="0" fontId="9" fillId="25" borderId="45" xfId="0" applyFont="1" applyFill="1" applyBorder="1" applyAlignment="1">
      <alignment vertical="top" wrapText="1"/>
    </xf>
    <xf numFmtId="0" fontId="8" fillId="0" borderId="11" xfId="0" applyFont="1" applyBorder="1" applyAlignment="1">
      <alignment horizontal="center" vertical="center" wrapText="1"/>
    </xf>
    <xf numFmtId="0" fontId="3" fillId="2" borderId="12" xfId="0" applyFont="1" applyFill="1" applyBorder="1" applyAlignment="1">
      <alignment horizontal="left" vertical="center"/>
    </xf>
    <xf numFmtId="0" fontId="4" fillId="0" borderId="12" xfId="0" applyFont="1" applyBorder="1"/>
    <xf numFmtId="0" fontId="8" fillId="25" borderId="11" xfId="0" applyFont="1" applyFill="1" applyBorder="1" applyAlignment="1">
      <alignment horizontal="left" wrapText="1"/>
    </xf>
    <xf numFmtId="0" fontId="7" fillId="33" borderId="59" xfId="0" applyFont="1" applyFill="1" applyBorder="1" applyAlignment="1">
      <alignment horizontal="center" vertical="center"/>
    </xf>
    <xf numFmtId="0" fontId="8" fillId="38" borderId="82" xfId="0" applyFont="1" applyFill="1" applyBorder="1" applyAlignment="1" applyProtection="1">
      <alignment horizontal="left" vertical="top" wrapText="1"/>
      <protection locked="0"/>
    </xf>
    <xf numFmtId="0" fontId="8" fillId="38" borderId="15" xfId="0" applyFont="1" applyFill="1" applyBorder="1" applyAlignment="1" applyProtection="1">
      <alignment horizontal="left" vertical="top" wrapText="1"/>
      <protection locked="0"/>
    </xf>
    <xf numFmtId="0" fontId="8" fillId="38" borderId="83" xfId="0" applyFont="1" applyFill="1" applyBorder="1" applyAlignment="1" applyProtection="1">
      <alignment horizontal="left" vertical="top" wrapText="1"/>
      <protection locked="0"/>
    </xf>
    <xf numFmtId="0" fontId="8" fillId="38" borderId="66" xfId="0" applyFont="1" applyFill="1" applyBorder="1" applyAlignment="1" applyProtection="1">
      <alignment horizontal="left" vertical="top" wrapText="1"/>
      <protection locked="0"/>
    </xf>
    <xf numFmtId="0" fontId="8" fillId="38" borderId="11" xfId="0" applyFont="1" applyFill="1" applyBorder="1" applyAlignment="1" applyProtection="1">
      <alignment horizontal="left" vertical="top" wrapText="1"/>
      <protection locked="0"/>
    </xf>
    <xf numFmtId="0" fontId="8" fillId="38" borderId="67" xfId="0" applyFont="1" applyFill="1" applyBorder="1" applyAlignment="1" applyProtection="1">
      <alignment horizontal="left" vertical="top" wrapText="1"/>
      <protection locked="0"/>
    </xf>
    <xf numFmtId="0" fontId="8" fillId="38" borderId="71" xfId="0" applyFont="1" applyFill="1" applyBorder="1" applyAlignment="1" applyProtection="1">
      <alignment horizontal="left" vertical="top" wrapText="1"/>
      <protection locked="0"/>
    </xf>
    <xf numFmtId="0" fontId="8" fillId="38" borderId="16" xfId="0" applyFont="1" applyFill="1" applyBorder="1" applyAlignment="1" applyProtection="1">
      <alignment horizontal="left" vertical="top" wrapText="1"/>
      <protection locked="0"/>
    </xf>
    <xf numFmtId="0" fontId="8" fillId="5" borderId="65" xfId="0" applyFont="1" applyFill="1" applyBorder="1" applyAlignment="1">
      <alignment horizontal="left" vertical="top" wrapText="1"/>
    </xf>
    <xf numFmtId="0" fontId="8" fillId="5" borderId="11" xfId="0" applyFont="1" applyFill="1" applyBorder="1" applyAlignment="1">
      <alignment horizontal="left" vertical="top" wrapText="1"/>
    </xf>
    <xf numFmtId="0" fontId="8" fillId="35" borderId="11" xfId="0" applyFont="1" applyFill="1" applyBorder="1" applyAlignment="1">
      <alignment vertical="top" wrapText="1"/>
    </xf>
    <xf numFmtId="0" fontId="9" fillId="36" borderId="11" xfId="0" applyFont="1" applyFill="1" applyBorder="1"/>
    <xf numFmtId="0" fontId="8" fillId="7" borderId="48" xfId="0" applyFont="1" applyFill="1" applyBorder="1" applyAlignment="1" applyProtection="1">
      <alignment horizontal="left" vertical="top" wrapText="1"/>
      <protection locked="0"/>
    </xf>
    <xf numFmtId="0" fontId="8" fillId="7" borderId="65" xfId="0" applyFont="1" applyFill="1" applyBorder="1" applyAlignment="1" applyProtection="1">
      <alignment horizontal="left" vertical="top" wrapText="1"/>
      <protection locked="0"/>
    </xf>
    <xf numFmtId="0" fontId="8" fillId="7" borderId="49" xfId="0" applyFont="1" applyFill="1" applyBorder="1" applyAlignment="1" applyProtection="1">
      <alignment horizontal="left" vertical="top" wrapText="1"/>
      <protection locked="0"/>
    </xf>
    <xf numFmtId="0" fontId="8" fillId="7" borderId="66" xfId="0" applyFont="1" applyFill="1" applyBorder="1" applyAlignment="1" applyProtection="1">
      <alignment horizontal="left" vertical="top" wrapText="1"/>
      <protection locked="0"/>
    </xf>
    <xf numFmtId="0" fontId="8" fillId="7" borderId="11" xfId="0" applyFont="1" applyFill="1" applyBorder="1" applyAlignment="1" applyProtection="1">
      <alignment horizontal="left" vertical="top" wrapText="1"/>
      <protection locked="0"/>
    </xf>
    <xf numFmtId="0" fontId="8" fillId="7" borderId="67" xfId="0" applyFont="1" applyFill="1" applyBorder="1" applyAlignment="1" applyProtection="1">
      <alignment horizontal="left" vertical="top" wrapText="1"/>
      <protection locked="0"/>
    </xf>
    <xf numFmtId="0" fontId="8" fillId="7" borderId="50" xfId="0" applyFont="1" applyFill="1" applyBorder="1" applyAlignment="1" applyProtection="1">
      <alignment horizontal="left" vertical="top" wrapText="1"/>
      <protection locked="0"/>
    </xf>
    <xf numFmtId="0" fontId="8" fillId="7" borderId="43" xfId="0" applyFont="1" applyFill="1" applyBorder="1" applyAlignment="1" applyProtection="1">
      <alignment horizontal="left" vertical="top" wrapText="1"/>
      <protection locked="0"/>
    </xf>
    <xf numFmtId="0" fontId="8" fillId="7" borderId="51" xfId="0" applyFont="1" applyFill="1" applyBorder="1" applyAlignment="1" applyProtection="1">
      <alignment horizontal="left" vertical="top" wrapText="1"/>
      <protection locked="0"/>
    </xf>
    <xf numFmtId="0" fontId="8" fillId="5" borderId="11" xfId="0" applyFont="1" applyFill="1" applyBorder="1"/>
    <xf numFmtId="0" fontId="8" fillId="5" borderId="65" xfId="0" applyFont="1" applyFill="1" applyBorder="1"/>
    <xf numFmtId="0" fontId="8" fillId="35" borderId="33" xfId="0" applyFont="1" applyFill="1" applyBorder="1" applyAlignment="1">
      <alignment vertical="top" wrapText="1"/>
    </xf>
    <xf numFmtId="0" fontId="15" fillId="39" borderId="38" xfId="0" applyFont="1" applyFill="1" applyBorder="1" applyAlignment="1">
      <alignment vertical="center"/>
    </xf>
    <xf numFmtId="0" fontId="15" fillId="39" borderId="68" xfId="0" applyFont="1" applyFill="1" applyBorder="1" applyAlignment="1">
      <alignment vertical="center"/>
    </xf>
    <xf numFmtId="0" fontId="15" fillId="39" borderId="39" xfId="0" applyFont="1" applyFill="1" applyBorder="1" applyAlignment="1">
      <alignment vertical="center"/>
    </xf>
    <xf numFmtId="0" fontId="8" fillId="5" borderId="11" xfId="0" applyFont="1" applyFill="1" applyBorder="1" applyAlignment="1">
      <alignment vertical="top" wrapText="1"/>
    </xf>
    <xf numFmtId="0" fontId="9" fillId="0" borderId="11" xfId="0" applyFont="1" applyBorder="1"/>
    <xf numFmtId="0" fontId="8" fillId="5" borderId="14" xfId="0" applyFont="1" applyFill="1" applyBorder="1" applyAlignment="1">
      <alignment vertical="top" wrapText="1"/>
    </xf>
    <xf numFmtId="0" fontId="15" fillId="39" borderId="50" xfId="0" applyFont="1" applyFill="1" applyBorder="1" applyAlignment="1">
      <alignment vertical="center"/>
    </xf>
    <xf numFmtId="0" fontId="15" fillId="39" borderId="43" xfId="0" applyFont="1" applyFill="1" applyBorder="1" applyAlignment="1">
      <alignment vertical="center"/>
    </xf>
    <xf numFmtId="0" fontId="15" fillId="39" borderId="51" xfId="0" applyFont="1" applyFill="1" applyBorder="1" applyAlignment="1">
      <alignment vertical="center"/>
    </xf>
    <xf numFmtId="0" fontId="8" fillId="25" borderId="11" xfId="0" applyFont="1" applyFill="1" applyBorder="1" applyAlignment="1">
      <alignment vertical="top" wrapText="1"/>
    </xf>
    <xf numFmtId="0" fontId="8" fillId="24" borderId="11" xfId="0" applyFont="1" applyFill="1" applyBorder="1" applyAlignment="1">
      <alignment vertical="top" wrapText="1"/>
    </xf>
    <xf numFmtId="0" fontId="8" fillId="28" borderId="48" xfId="0" applyFont="1" applyFill="1" applyBorder="1" applyAlignment="1" applyProtection="1">
      <alignment horizontal="left" vertical="top" wrapText="1"/>
      <protection locked="0"/>
    </xf>
    <xf numFmtId="0" fontId="8" fillId="28" borderId="65" xfId="0" applyFont="1" applyFill="1" applyBorder="1" applyAlignment="1" applyProtection="1">
      <alignment horizontal="left" vertical="top" wrapText="1"/>
      <protection locked="0"/>
    </xf>
    <xf numFmtId="0" fontId="8" fillId="28" borderId="49" xfId="0" applyFont="1" applyFill="1" applyBorder="1" applyAlignment="1" applyProtection="1">
      <alignment horizontal="left" vertical="top" wrapText="1"/>
      <protection locked="0"/>
    </xf>
    <xf numFmtId="0" fontId="8" fillId="28" borderId="66" xfId="0" applyFont="1" applyFill="1" applyBorder="1" applyAlignment="1" applyProtection="1">
      <alignment horizontal="left" vertical="top" wrapText="1"/>
      <protection locked="0"/>
    </xf>
    <xf numFmtId="0" fontId="8" fillId="28" borderId="11" xfId="0" applyFont="1" applyFill="1" applyBorder="1" applyAlignment="1" applyProtection="1">
      <alignment horizontal="left" vertical="top" wrapText="1"/>
      <protection locked="0"/>
    </xf>
    <xf numFmtId="0" fontId="8" fillId="28" borderId="67" xfId="0" applyFont="1" applyFill="1" applyBorder="1" applyAlignment="1" applyProtection="1">
      <alignment horizontal="left" vertical="top" wrapText="1"/>
      <protection locked="0"/>
    </xf>
    <xf numFmtId="0" fontId="8" fillId="28" borderId="50" xfId="0" applyFont="1" applyFill="1" applyBorder="1" applyAlignment="1" applyProtection="1">
      <alignment horizontal="left" vertical="top" wrapText="1"/>
      <protection locked="0"/>
    </xf>
    <xf numFmtId="0" fontId="8" fillId="28" borderId="43" xfId="0" applyFont="1" applyFill="1" applyBorder="1" applyAlignment="1" applyProtection="1">
      <alignment horizontal="left" vertical="top" wrapText="1"/>
      <protection locked="0"/>
    </xf>
    <xf numFmtId="0" fontId="8" fillId="28" borderId="51" xfId="0" applyFont="1" applyFill="1" applyBorder="1" applyAlignment="1" applyProtection="1">
      <alignment horizontal="left" vertical="top" wrapText="1"/>
      <protection locked="0"/>
    </xf>
    <xf numFmtId="0" fontId="15" fillId="2" borderId="38" xfId="0" applyFont="1" applyFill="1" applyBorder="1" applyAlignment="1">
      <alignment vertical="center"/>
    </xf>
    <xf numFmtId="0" fontId="15" fillId="2" borderId="68" xfId="0" applyFont="1" applyFill="1" applyBorder="1" applyAlignment="1">
      <alignment vertical="center"/>
    </xf>
    <xf numFmtId="0" fontId="15" fillId="2" borderId="39" xfId="0" applyFont="1" applyFill="1" applyBorder="1" applyAlignment="1">
      <alignment vertical="center"/>
    </xf>
    <xf numFmtId="0" fontId="15" fillId="2" borderId="38" xfId="0" applyFont="1" applyFill="1" applyBorder="1" applyAlignment="1">
      <alignment horizontal="left" vertical="center"/>
    </xf>
    <xf numFmtId="0" fontId="15" fillId="2" borderId="65" xfId="0" applyFont="1" applyFill="1" applyBorder="1" applyAlignment="1">
      <alignment horizontal="left" vertical="center"/>
    </xf>
    <xf numFmtId="0" fontId="15" fillId="2" borderId="68" xfId="0" applyFont="1" applyFill="1" applyBorder="1" applyAlignment="1">
      <alignment horizontal="left" vertical="center"/>
    </xf>
    <xf numFmtId="0" fontId="15" fillId="2" borderId="39" xfId="0" applyFont="1" applyFill="1" applyBorder="1" applyAlignment="1">
      <alignment horizontal="left" vertical="center"/>
    </xf>
    <xf numFmtId="0" fontId="8" fillId="35" borderId="11" xfId="0" applyFont="1" applyFill="1" applyBorder="1" applyAlignment="1">
      <alignment horizontal="left" vertical="top" wrapText="1"/>
    </xf>
    <xf numFmtId="0" fontId="13" fillId="18" borderId="11" xfId="0" applyFont="1" applyFill="1" applyBorder="1" applyAlignment="1">
      <alignment horizontal="center" vertical="center"/>
    </xf>
    <xf numFmtId="0" fontId="13" fillId="41" borderId="43" xfId="0" applyFont="1" applyFill="1" applyBorder="1" applyAlignment="1">
      <alignment horizontal="center" vertical="center"/>
    </xf>
    <xf numFmtId="170" fontId="8" fillId="41" borderId="66" xfId="0" applyNumberFormat="1" applyFont="1" applyFill="1" applyBorder="1" applyAlignment="1">
      <alignment horizontal="center" vertical="center"/>
    </xf>
    <xf numFmtId="170" fontId="8" fillId="41" borderId="11" xfId="0" applyNumberFormat="1" applyFont="1" applyFill="1" applyBorder="1" applyAlignment="1">
      <alignment horizontal="center" vertical="center"/>
    </xf>
    <xf numFmtId="0" fontId="57" fillId="41" borderId="11" xfId="0" applyFont="1" applyFill="1" applyBorder="1" applyAlignment="1">
      <alignment vertical="top" wrapText="1"/>
    </xf>
    <xf numFmtId="0" fontId="57" fillId="41" borderId="11" xfId="0" applyFont="1" applyFill="1" applyBorder="1" applyAlignment="1">
      <alignment horizontal="left" vertical="top" wrapText="1"/>
    </xf>
    <xf numFmtId="0" fontId="56" fillId="41" borderId="66" xfId="0" applyFont="1" applyFill="1" applyBorder="1" applyAlignment="1">
      <alignment horizontal="left" vertical="center"/>
    </xf>
    <xf numFmtId="0" fontId="56" fillId="41" borderId="11" xfId="0" applyFont="1" applyFill="1" applyBorder="1" applyAlignment="1">
      <alignment horizontal="left" vertical="center"/>
    </xf>
    <xf numFmtId="3" fontId="9" fillId="28" borderId="38" xfId="0" applyNumberFormat="1" applyFont="1" applyFill="1" applyBorder="1" applyAlignment="1" applyProtection="1">
      <alignment horizontal="center" vertical="center"/>
      <protection locked="0"/>
    </xf>
    <xf numFmtId="3" fontId="9" fillId="28" borderId="39" xfId="0" applyNumberFormat="1" applyFont="1" applyFill="1" applyBorder="1" applyAlignment="1" applyProtection="1">
      <alignment horizontal="center" vertical="center"/>
      <protection locked="0"/>
    </xf>
    <xf numFmtId="3" fontId="8" fillId="41" borderId="11" xfId="0" applyNumberFormat="1" applyFont="1" applyFill="1" applyBorder="1" applyAlignment="1">
      <alignment horizontal="center" vertical="center"/>
    </xf>
    <xf numFmtId="0" fontId="56" fillId="45" borderId="11" xfId="0" applyFont="1" applyFill="1" applyBorder="1" applyAlignment="1">
      <alignment vertical="center"/>
    </xf>
    <xf numFmtId="0" fontId="57" fillId="45" borderId="11" xfId="0" applyFont="1" applyFill="1" applyBorder="1" applyAlignment="1">
      <alignment vertical="center" wrapText="1"/>
    </xf>
    <xf numFmtId="0" fontId="13" fillId="41" borderId="50" xfId="0" applyFont="1" applyFill="1" applyBorder="1" applyAlignment="1">
      <alignment horizontal="center" vertical="center"/>
    </xf>
    <xf numFmtId="0" fontId="13" fillId="41" borderId="87" xfId="0" applyFont="1" applyFill="1" applyBorder="1" applyAlignment="1">
      <alignment horizontal="center" vertical="center"/>
    </xf>
    <xf numFmtId="0" fontId="13" fillId="41" borderId="28" xfId="0" applyFont="1" applyFill="1" applyBorder="1" applyAlignment="1">
      <alignment horizontal="center" vertical="center" wrapText="1"/>
    </xf>
    <xf numFmtId="2" fontId="8" fillId="41" borderId="65" xfId="0" applyNumberFormat="1" applyFont="1" applyFill="1" applyBorder="1" applyAlignment="1">
      <alignment horizontal="center" vertical="center"/>
    </xf>
    <xf numFmtId="2" fontId="8" fillId="41" borderId="11" xfId="0" applyNumberFormat="1" applyFont="1" applyFill="1" applyBorder="1" applyAlignment="1">
      <alignment horizontal="center" vertical="center"/>
    </xf>
    <xf numFmtId="2" fontId="8" fillId="41" borderId="43" xfId="0" applyNumberFormat="1" applyFont="1" applyFill="1" applyBorder="1" applyAlignment="1">
      <alignment horizontal="center" vertical="center"/>
    </xf>
    <xf numFmtId="0" fontId="13" fillId="41" borderId="43" xfId="0" applyFont="1" applyFill="1" applyBorder="1" applyAlignment="1">
      <alignment horizontal="center" vertical="center" wrapText="1"/>
    </xf>
    <xf numFmtId="0" fontId="8" fillId="41" borderId="11" xfId="0" applyFont="1" applyFill="1" applyBorder="1" applyAlignment="1">
      <alignment horizontal="left" vertical="center"/>
    </xf>
    <xf numFmtId="0" fontId="8" fillId="41" borderId="11" xfId="0" applyFont="1" applyFill="1" applyBorder="1" applyAlignment="1">
      <alignment vertical="center"/>
    </xf>
    <xf numFmtId="0" fontId="8" fillId="18" borderId="11" xfId="0" applyFont="1" applyFill="1" applyBorder="1" applyAlignment="1">
      <alignment horizontal="left" vertical="center" wrapText="1"/>
    </xf>
    <xf numFmtId="0" fontId="41" fillId="41" borderId="11" xfId="3" applyFont="1" applyFill="1" applyBorder="1" applyAlignment="1" applyProtection="1">
      <alignment horizontal="left" vertical="center" wrapText="1"/>
    </xf>
    <xf numFmtId="0" fontId="7" fillId="3" borderId="37" xfId="0" applyFont="1" applyFill="1" applyBorder="1" applyAlignment="1">
      <alignment vertical="center"/>
    </xf>
    <xf numFmtId="0" fontId="4" fillId="0" borderId="37" xfId="0" applyFont="1" applyBorder="1" applyAlignment="1">
      <alignment vertical="center"/>
    </xf>
    <xf numFmtId="0" fontId="8" fillId="18" borderId="11" xfId="0" applyFont="1" applyFill="1" applyBorder="1" applyAlignment="1">
      <alignment horizontal="center" vertical="center"/>
    </xf>
    <xf numFmtId="0" fontId="30" fillId="18" borderId="11" xfId="3" applyFont="1" applyFill="1" applyBorder="1" applyAlignment="1" applyProtection="1">
      <alignment vertical="center" wrapText="1"/>
    </xf>
    <xf numFmtId="0" fontId="57" fillId="45" borderId="11" xfId="0" applyFont="1" applyFill="1" applyBorder="1" applyAlignment="1">
      <alignment horizontal="left" vertical="center"/>
    </xf>
    <xf numFmtId="170" fontId="8" fillId="41" borderId="48" xfId="0" applyNumberFormat="1" applyFont="1" applyFill="1" applyBorder="1" applyAlignment="1">
      <alignment horizontal="center" vertical="center"/>
    </xf>
    <xf numFmtId="170" fontId="8" fillId="41" borderId="65" xfId="0" applyNumberFormat="1" applyFont="1" applyFill="1" applyBorder="1" applyAlignment="1">
      <alignment horizontal="center" vertical="center"/>
    </xf>
    <xf numFmtId="170" fontId="8" fillId="41" borderId="50" xfId="0" applyNumberFormat="1" applyFont="1" applyFill="1" applyBorder="1" applyAlignment="1">
      <alignment horizontal="center" vertical="center"/>
    </xf>
    <xf numFmtId="170" fontId="8" fillId="41" borderId="43" xfId="0" applyNumberFormat="1" applyFont="1" applyFill="1" applyBorder="1" applyAlignment="1">
      <alignment horizontal="center" vertical="center"/>
    </xf>
    <xf numFmtId="166" fontId="8" fillId="41" borderId="11" xfId="0" applyNumberFormat="1" applyFont="1" applyFill="1" applyBorder="1" applyAlignment="1">
      <alignment horizontal="center" vertical="center"/>
    </xf>
    <xf numFmtId="0" fontId="13" fillId="41" borderId="88" xfId="0" applyFont="1" applyFill="1" applyBorder="1" applyAlignment="1">
      <alignment horizontal="center" vertical="center"/>
    </xf>
    <xf numFmtId="0" fontId="13" fillId="41" borderId="51" xfId="0" applyFont="1" applyFill="1" applyBorder="1" applyAlignment="1">
      <alignment horizontal="center" vertical="center"/>
    </xf>
    <xf numFmtId="0" fontId="9" fillId="36" borderId="11" xfId="0" applyFont="1" applyFill="1" applyBorder="1" applyAlignment="1">
      <alignment vertical="top"/>
    </xf>
    <xf numFmtId="0" fontId="8" fillId="7" borderId="38" xfId="0" applyFont="1" applyFill="1" applyBorder="1" applyAlignment="1" applyProtection="1">
      <alignment horizontal="center" vertical="center"/>
      <protection locked="0"/>
    </xf>
    <xf numFmtId="0" fontId="8" fillId="7" borderId="68" xfId="0" applyFont="1" applyFill="1" applyBorder="1" applyAlignment="1" applyProtection="1">
      <alignment horizontal="center" vertical="center"/>
      <protection locked="0"/>
    </xf>
    <xf numFmtId="0" fontId="8" fillId="7" borderId="39" xfId="0" applyFont="1" applyFill="1" applyBorder="1" applyAlignment="1" applyProtection="1">
      <alignment horizontal="center" vertical="center"/>
      <protection locked="0"/>
    </xf>
    <xf numFmtId="0" fontId="8" fillId="45" borderId="8" xfId="0" applyFont="1" applyFill="1" applyBorder="1" applyAlignment="1">
      <alignment horizontal="center" vertical="center"/>
    </xf>
    <xf numFmtId="0" fontId="9" fillId="42" borderId="11" xfId="0" applyFont="1" applyFill="1" applyBorder="1" applyAlignment="1">
      <alignment vertical="center"/>
    </xf>
    <xf numFmtId="0" fontId="8" fillId="45" borderId="11" xfId="0" applyFont="1" applyFill="1" applyBorder="1" applyAlignment="1">
      <alignment horizontal="right" vertical="center" indent="1"/>
    </xf>
    <xf numFmtId="0" fontId="8" fillId="45" borderId="19" xfId="0" applyFont="1" applyFill="1" applyBorder="1" applyAlignment="1">
      <alignment horizontal="right" vertical="center" indent="1"/>
    </xf>
    <xf numFmtId="0" fontId="4" fillId="36" borderId="11" xfId="0" applyFont="1" applyFill="1" applyBorder="1"/>
    <xf numFmtId="0" fontId="13" fillId="42" borderId="0" xfId="0" applyFont="1" applyFill="1" applyAlignment="1">
      <alignment horizontal="center" vertical="center"/>
    </xf>
    <xf numFmtId="0" fontId="8" fillId="45" borderId="38" xfId="0" applyFont="1" applyFill="1" applyBorder="1" applyAlignment="1">
      <alignment horizontal="right" vertical="center" indent="1"/>
    </xf>
    <xf numFmtId="0" fontId="8" fillId="45" borderId="39" xfId="0" applyFont="1" applyFill="1" applyBorder="1" applyAlignment="1">
      <alignment horizontal="right" vertical="center" indent="1"/>
    </xf>
    <xf numFmtId="0" fontId="13" fillId="45" borderId="11" xfId="0" applyFont="1" applyFill="1" applyBorder="1" applyAlignment="1">
      <alignment horizontal="center" vertical="center" wrapText="1"/>
    </xf>
    <xf numFmtId="0" fontId="13" fillId="45" borderId="19" xfId="0" applyFont="1" applyFill="1" applyBorder="1" applyAlignment="1">
      <alignment horizontal="center" vertical="center" wrapText="1"/>
    </xf>
    <xf numFmtId="3" fontId="8" fillId="41" borderId="28" xfId="0" applyNumberFormat="1" applyFont="1" applyFill="1" applyBorder="1" applyAlignment="1">
      <alignment horizontal="center" vertical="center"/>
    </xf>
    <xf numFmtId="0" fontId="8" fillId="18" borderId="11" xfId="0" applyFont="1" applyFill="1" applyBorder="1" applyAlignment="1">
      <alignment vertical="center" wrapText="1"/>
    </xf>
    <xf numFmtId="0" fontId="12" fillId="18" borderId="11" xfId="0" applyFont="1" applyFill="1" applyBorder="1" applyAlignment="1">
      <alignment vertical="center"/>
    </xf>
    <xf numFmtId="0" fontId="8" fillId="18" borderId="11" xfId="0" applyFont="1" applyFill="1" applyBorder="1" applyAlignment="1">
      <alignment vertical="top" wrapText="1"/>
    </xf>
    <xf numFmtId="166" fontId="13" fillId="41" borderId="29" xfId="5" applyNumberFormat="1" applyFont="1" applyFill="1" applyBorder="1" applyAlignment="1" applyProtection="1">
      <alignment horizontal="center" vertical="center"/>
    </xf>
    <xf numFmtId="166" fontId="13" fillId="41" borderId="42" xfId="5" applyNumberFormat="1" applyFont="1" applyFill="1" applyBorder="1" applyAlignment="1" applyProtection="1">
      <alignment horizontal="center" vertical="center"/>
    </xf>
    <xf numFmtId="0" fontId="43" fillId="18" borderId="11" xfId="0" applyFont="1" applyFill="1" applyBorder="1" applyAlignment="1">
      <alignment vertical="top" wrapText="1"/>
    </xf>
    <xf numFmtId="0" fontId="8" fillId="67" borderId="38" xfId="0" applyFont="1" applyFill="1" applyBorder="1" applyAlignment="1" applyProtection="1">
      <alignment horizontal="right" vertical="center" indent="1"/>
      <protection locked="0"/>
    </xf>
    <xf numFmtId="0" fontId="8" fillId="67" borderId="39" xfId="0" applyFont="1" applyFill="1" applyBorder="1" applyAlignment="1" applyProtection="1">
      <alignment horizontal="right" vertical="center" indent="1"/>
      <protection locked="0"/>
    </xf>
    <xf numFmtId="3" fontId="8" fillId="28" borderId="38" xfId="0" applyNumberFormat="1" applyFont="1" applyFill="1" applyBorder="1" applyAlignment="1" applyProtection="1">
      <alignment horizontal="center" vertical="center"/>
      <protection locked="0"/>
    </xf>
    <xf numFmtId="3" fontId="8" fillId="28" borderId="39" xfId="0" applyNumberFormat="1" applyFont="1" applyFill="1" applyBorder="1" applyAlignment="1" applyProtection="1">
      <alignment horizontal="center" vertical="center"/>
      <protection locked="0"/>
    </xf>
    <xf numFmtId="171" fontId="8" fillId="6" borderId="11" xfId="0" applyNumberFormat="1" applyFont="1" applyFill="1" applyBorder="1" applyAlignment="1">
      <alignment horizontal="center"/>
    </xf>
    <xf numFmtId="9" fontId="13" fillId="6" borderId="29" xfId="0" applyNumberFormat="1" applyFont="1" applyFill="1" applyBorder="1" applyAlignment="1">
      <alignment horizontal="center"/>
    </xf>
    <xf numFmtId="9" fontId="13" fillId="6" borderId="42" xfId="0" applyNumberFormat="1" applyFont="1" applyFill="1" applyBorder="1" applyAlignment="1">
      <alignment horizontal="center"/>
    </xf>
    <xf numFmtId="0" fontId="30" fillId="18" borderId="11" xfId="3" applyFont="1" applyFill="1" applyBorder="1" applyAlignment="1" applyProtection="1">
      <alignment vertical="top" wrapText="1"/>
    </xf>
    <xf numFmtId="0" fontId="13" fillId="18" borderId="11" xfId="0" applyFont="1" applyFill="1" applyBorder="1" applyAlignment="1">
      <alignment horizontal="center" vertical="top" wrapText="1"/>
    </xf>
    <xf numFmtId="0" fontId="6" fillId="14" borderId="11" xfId="0" applyFont="1" applyFill="1" applyBorder="1" applyAlignment="1">
      <alignment vertical="top"/>
    </xf>
    <xf numFmtId="0" fontId="6" fillId="14" borderId="16" xfId="0" applyFont="1" applyFill="1" applyBorder="1" applyAlignment="1">
      <alignment vertical="top"/>
    </xf>
    <xf numFmtId="0" fontId="15" fillId="2" borderId="50" xfId="0" applyFont="1" applyFill="1" applyBorder="1"/>
    <xf numFmtId="0" fontId="15" fillId="2" borderId="43" xfId="0" applyFont="1" applyFill="1" applyBorder="1"/>
    <xf numFmtId="0" fontId="15" fillId="2" borderId="51" xfId="0" applyFont="1" applyFill="1" applyBorder="1"/>
    <xf numFmtId="0" fontId="15" fillId="2" borderId="38" xfId="0" applyFont="1" applyFill="1" applyBorder="1"/>
    <xf numFmtId="0" fontId="15" fillId="2" borderId="68" xfId="0" applyFont="1" applyFill="1" applyBorder="1"/>
    <xf numFmtId="0" fontId="15" fillId="2" borderId="39" xfId="0" applyFont="1" applyFill="1" applyBorder="1"/>
    <xf numFmtId="9" fontId="8" fillId="7" borderId="28" xfId="0" applyNumberFormat="1" applyFont="1" applyFill="1" applyBorder="1" applyAlignment="1" applyProtection="1">
      <alignment horizontal="center"/>
      <protection locked="0"/>
    </xf>
    <xf numFmtId="9" fontId="8" fillId="7" borderId="64" xfId="0" applyNumberFormat="1" applyFont="1" applyFill="1" applyBorder="1" applyAlignment="1" applyProtection="1">
      <alignment horizontal="center"/>
      <protection locked="0"/>
    </xf>
    <xf numFmtId="9" fontId="14" fillId="6" borderId="29" xfId="0" applyNumberFormat="1" applyFont="1" applyFill="1" applyBorder="1" applyAlignment="1">
      <alignment horizontal="center"/>
    </xf>
    <xf numFmtId="9" fontId="14" fillId="6" borderId="42" xfId="0" applyNumberFormat="1" applyFont="1" applyFill="1" applyBorder="1" applyAlignment="1">
      <alignment horizontal="center"/>
    </xf>
    <xf numFmtId="171" fontId="8" fillId="7" borderId="28" xfId="0" applyNumberFormat="1" applyFont="1" applyFill="1" applyBorder="1" applyAlignment="1" applyProtection="1">
      <alignment horizontal="center"/>
      <protection locked="0"/>
    </xf>
    <xf numFmtId="0" fontId="12" fillId="5" borderId="11" xfId="0" applyFont="1" applyFill="1" applyBorder="1" applyAlignment="1">
      <alignment vertical="top" wrapText="1"/>
    </xf>
    <xf numFmtId="0" fontId="43" fillId="5" borderId="11" xfId="0" applyFont="1" applyFill="1" applyBorder="1" applyAlignment="1">
      <alignment vertical="top" wrapText="1"/>
    </xf>
    <xf numFmtId="0" fontId="8" fillId="18" borderId="11" xfId="0" applyFont="1" applyFill="1" applyBorder="1" applyAlignment="1">
      <alignment vertical="top"/>
    </xf>
    <xf numFmtId="0" fontId="12" fillId="18" borderId="11" xfId="0" applyFont="1" applyFill="1" applyBorder="1"/>
    <xf numFmtId="0" fontId="8" fillId="75" borderId="106" xfId="0" applyFont="1" applyFill="1" applyBorder="1" applyAlignment="1">
      <alignment horizontal="center" vertical="center" wrapText="1"/>
    </xf>
    <xf numFmtId="0" fontId="9" fillId="21" borderId="120" xfId="0" applyFont="1" applyFill="1" applyBorder="1"/>
    <xf numFmtId="0" fontId="69" fillId="18" borderId="11" xfId="0" applyFont="1" applyFill="1" applyBorder="1" applyAlignment="1">
      <alignment vertical="top" wrapText="1"/>
    </xf>
    <xf numFmtId="0" fontId="8" fillId="75" borderId="105" xfId="0" applyFont="1" applyFill="1" applyBorder="1" applyAlignment="1">
      <alignment horizontal="center" vertical="center" wrapText="1"/>
    </xf>
    <xf numFmtId="0" fontId="8" fillId="75" borderId="119" xfId="0" applyFont="1" applyFill="1" applyBorder="1" applyAlignment="1">
      <alignment horizontal="center" vertical="center" wrapText="1"/>
    </xf>
    <xf numFmtId="0" fontId="65" fillId="80" borderId="103" xfId="0" applyFont="1" applyFill="1" applyBorder="1" applyAlignment="1">
      <alignment horizontal="center" vertical="center"/>
    </xf>
    <xf numFmtId="0" fontId="65" fillId="80" borderId="73" xfId="0" applyFont="1" applyFill="1" applyBorder="1" applyAlignment="1">
      <alignment horizontal="center" vertical="center"/>
    </xf>
    <xf numFmtId="0" fontId="65" fillId="80" borderId="104" xfId="0" applyFont="1" applyFill="1" applyBorder="1" applyAlignment="1">
      <alignment horizontal="center" vertical="center"/>
    </xf>
    <xf numFmtId="0" fontId="8" fillId="79" borderId="106" xfId="0" applyFont="1" applyFill="1" applyBorder="1" applyAlignment="1">
      <alignment horizontal="center" vertical="center" wrapText="1"/>
    </xf>
    <xf numFmtId="0" fontId="9" fillId="42" borderId="108" xfId="0" applyFont="1" applyFill="1" applyBorder="1"/>
    <xf numFmtId="0" fontId="8" fillId="83" borderId="106" xfId="0" applyFont="1" applyFill="1" applyBorder="1" applyAlignment="1" applyProtection="1">
      <alignment horizontal="center" vertical="center" wrapText="1"/>
      <protection locked="0"/>
    </xf>
    <xf numFmtId="0" fontId="9" fillId="62" borderId="108" xfId="0" applyFont="1" applyFill="1" applyBorder="1" applyProtection="1">
      <protection locked="0"/>
    </xf>
    <xf numFmtId="0" fontId="8" fillId="79" borderId="115" xfId="0" applyFont="1" applyFill="1" applyBorder="1" applyAlignment="1">
      <alignment horizontal="center" vertical="center" wrapText="1"/>
    </xf>
    <xf numFmtId="0" fontId="8" fillId="79" borderId="13" xfId="0" applyFont="1" applyFill="1" applyBorder="1" applyAlignment="1">
      <alignment horizontal="center" vertical="center" wrapText="1"/>
    </xf>
    <xf numFmtId="0" fontId="8" fillId="28" borderId="48" xfId="0" applyFont="1" applyFill="1" applyBorder="1" applyAlignment="1" applyProtection="1">
      <alignment vertical="top" wrapText="1"/>
      <protection locked="0"/>
    </xf>
    <xf numFmtId="0" fontId="8" fillId="28" borderId="65" xfId="0" applyFont="1" applyFill="1" applyBorder="1" applyAlignment="1" applyProtection="1">
      <alignment vertical="top" wrapText="1"/>
      <protection locked="0"/>
    </xf>
    <xf numFmtId="0" fontId="8" fillId="28" borderId="49" xfId="0" applyFont="1" applyFill="1" applyBorder="1" applyAlignment="1" applyProtection="1">
      <alignment vertical="top" wrapText="1"/>
      <protection locked="0"/>
    </xf>
    <xf numFmtId="0" fontId="8" fillId="28" borderId="66" xfId="0" applyFont="1" applyFill="1" applyBorder="1" applyAlignment="1" applyProtection="1">
      <alignment vertical="top" wrapText="1"/>
      <protection locked="0"/>
    </xf>
    <xf numFmtId="0" fontId="8" fillId="28" borderId="11" xfId="0" applyFont="1" applyFill="1" applyBorder="1" applyAlignment="1" applyProtection="1">
      <alignment vertical="top" wrapText="1"/>
      <protection locked="0"/>
    </xf>
    <xf numFmtId="0" fontId="8" fillId="28" borderId="67" xfId="0" applyFont="1" applyFill="1" applyBorder="1" applyAlignment="1" applyProtection="1">
      <alignment vertical="top" wrapText="1"/>
      <protection locked="0"/>
    </xf>
    <xf numFmtId="0" fontId="8" fillId="28" borderId="50" xfId="0" applyFont="1" applyFill="1" applyBorder="1" applyAlignment="1" applyProtection="1">
      <alignment vertical="top" wrapText="1"/>
      <protection locked="0"/>
    </xf>
    <xf numFmtId="0" fontId="8" fillId="28" borderId="43" xfId="0" applyFont="1" applyFill="1" applyBorder="1" applyAlignment="1" applyProtection="1">
      <alignment vertical="top" wrapText="1"/>
      <protection locked="0"/>
    </xf>
    <xf numFmtId="0" fontId="8" fillId="28" borderId="51" xfId="0" applyFont="1" applyFill="1" applyBorder="1" applyAlignment="1" applyProtection="1">
      <alignment vertical="top" wrapText="1"/>
      <protection locked="0"/>
    </xf>
    <xf numFmtId="0" fontId="8" fillId="25" borderId="11" xfId="0" applyFont="1" applyFill="1" applyBorder="1" applyAlignment="1">
      <alignment horizontal="left" vertical="top" wrapText="1"/>
    </xf>
    <xf numFmtId="0" fontId="15" fillId="39" borderId="38" xfId="0" applyFont="1" applyFill="1" applyBorder="1"/>
    <xf numFmtId="0" fontId="15" fillId="39" borderId="68" xfId="0" applyFont="1" applyFill="1" applyBorder="1"/>
    <xf numFmtId="0" fontId="15" fillId="39" borderId="39" xfId="0" applyFont="1" applyFill="1" applyBorder="1"/>
    <xf numFmtId="0" fontId="9" fillId="21" borderId="108" xfId="0" applyFont="1" applyFill="1" applyBorder="1"/>
    <xf numFmtId="0" fontId="8" fillId="14" borderId="0" xfId="0" applyFont="1" applyFill="1" applyAlignment="1">
      <alignment horizontal="left" vertical="top" wrapText="1"/>
    </xf>
    <xf numFmtId="0" fontId="68" fillId="45" borderId="75" xfId="0" applyFont="1" applyFill="1" applyBorder="1" applyAlignment="1">
      <alignment horizontal="left" vertical="center"/>
    </xf>
    <xf numFmtId="0" fontId="68" fillId="27" borderId="75" xfId="0" applyFont="1" applyFill="1" applyBorder="1" applyAlignment="1">
      <alignment horizontal="left" vertical="center"/>
    </xf>
    <xf numFmtId="0" fontId="4" fillId="0" borderId="37" xfId="0" applyFont="1" applyBorder="1"/>
    <xf numFmtId="0" fontId="37" fillId="12" borderId="28" xfId="1" applyFont="1" applyBorder="1" applyAlignment="1" applyProtection="1">
      <alignment horizontal="center" vertical="center" wrapText="1"/>
      <protection locked="0"/>
    </xf>
    <xf numFmtId="0" fontId="9" fillId="67" borderId="28" xfId="0" applyFont="1" applyFill="1" applyBorder="1" applyAlignment="1" applyProtection="1">
      <alignment horizontal="center" vertical="center"/>
      <protection locked="0"/>
    </xf>
    <xf numFmtId="0" fontId="9" fillId="71" borderId="28" xfId="0" applyFont="1" applyFill="1" applyBorder="1" applyAlignment="1" applyProtection="1">
      <alignment horizontal="center" vertical="center"/>
      <protection locked="0"/>
    </xf>
    <xf numFmtId="0" fontId="65" fillId="72" borderId="103" xfId="0" applyFont="1" applyFill="1" applyBorder="1" applyAlignment="1">
      <alignment horizontal="center" vertical="center"/>
    </xf>
    <xf numFmtId="0" fontId="9" fillId="0" borderId="73" xfId="0" applyFont="1" applyBorder="1"/>
    <xf numFmtId="0" fontId="9" fillId="0" borderId="104" xfId="0" applyFont="1" applyBorder="1"/>
    <xf numFmtId="0" fontId="65" fillId="72" borderId="73" xfId="0" applyFont="1" applyFill="1" applyBorder="1" applyAlignment="1">
      <alignment horizontal="center" vertical="center"/>
    </xf>
    <xf numFmtId="0" fontId="65" fillId="72" borderId="104" xfId="0" applyFont="1" applyFill="1" applyBorder="1" applyAlignment="1">
      <alignment horizontal="center" vertical="center"/>
    </xf>
    <xf numFmtId="0" fontId="8" fillId="18" borderId="11" xfId="0" applyFont="1" applyFill="1" applyBorder="1" applyAlignment="1">
      <alignment horizontal="center" vertical="top"/>
    </xf>
    <xf numFmtId="0" fontId="13" fillId="18" borderId="11" xfId="0" applyFont="1" applyFill="1" applyBorder="1" applyAlignment="1">
      <alignment horizontal="center"/>
    </xf>
    <xf numFmtId="0" fontId="13" fillId="18" borderId="43" xfId="0" applyFont="1" applyFill="1" applyBorder="1" applyAlignment="1">
      <alignment vertical="top"/>
    </xf>
    <xf numFmtId="0" fontId="30" fillId="18" borderId="65" xfId="3" applyFont="1" applyFill="1" applyBorder="1" applyAlignment="1" applyProtection="1">
      <alignment vertical="top" wrapText="1"/>
    </xf>
    <xf numFmtId="0" fontId="30" fillId="18" borderId="65" xfId="3" applyFont="1" applyFill="1" applyBorder="1" applyAlignment="1" applyProtection="1">
      <alignment vertical="top"/>
    </xf>
    <xf numFmtId="0" fontId="30" fillId="18" borderId="11" xfId="3" applyFont="1" applyFill="1" applyBorder="1" applyAlignment="1" applyProtection="1">
      <alignment vertical="top"/>
    </xf>
    <xf numFmtId="0" fontId="6" fillId="14" borderId="11" xfId="0" applyFont="1" applyFill="1" applyBorder="1"/>
    <xf numFmtId="0" fontId="15" fillId="39" borderId="28" xfId="0" applyFont="1" applyFill="1" applyBorder="1" applyAlignment="1">
      <alignment vertical="center"/>
    </xf>
    <xf numFmtId="0" fontId="12" fillId="18" borderId="11" xfId="0" applyFont="1" applyFill="1" applyBorder="1" applyAlignment="1">
      <alignment vertical="top" wrapText="1"/>
    </xf>
    <xf numFmtId="0" fontId="9" fillId="14" borderId="11" xfId="0" applyFont="1" applyFill="1" applyBorder="1"/>
    <xf numFmtId="0" fontId="15" fillId="2" borderId="50" xfId="0" applyFont="1" applyFill="1" applyBorder="1" applyAlignment="1">
      <alignment horizontal="left" vertical="center"/>
    </xf>
    <xf numFmtId="0" fontId="15" fillId="2" borderId="43" xfId="0" applyFont="1" applyFill="1" applyBorder="1" applyAlignment="1">
      <alignment horizontal="left" vertical="center"/>
    </xf>
    <xf numFmtId="0" fontId="15" fillId="2" borderId="51" xfId="0" applyFont="1" applyFill="1" applyBorder="1" applyAlignment="1">
      <alignment horizontal="left" vertical="center"/>
    </xf>
    <xf numFmtId="0" fontId="57" fillId="41" borderId="11" xfId="0" applyFont="1" applyFill="1" applyBorder="1" applyAlignment="1">
      <alignment horizontal="left" vertical="center"/>
    </xf>
    <xf numFmtId="0" fontId="8" fillId="18" borderId="11" xfId="0" applyFont="1" applyFill="1" applyBorder="1" applyAlignment="1">
      <alignment horizontal="left" vertical="top" wrapText="1"/>
    </xf>
    <xf numFmtId="0" fontId="8" fillId="35" borderId="14" xfId="0" applyFont="1" applyFill="1" applyBorder="1" applyAlignment="1">
      <alignment vertical="top" wrapText="1"/>
    </xf>
    <xf numFmtId="0" fontId="13" fillId="5" borderId="16" xfId="0" applyFont="1" applyFill="1" applyBorder="1" applyAlignment="1">
      <alignment vertical="center"/>
    </xf>
    <xf numFmtId="0" fontId="14" fillId="0" borderId="16" xfId="0" applyFont="1" applyBorder="1" applyAlignment="1">
      <alignment vertical="center"/>
    </xf>
    <xf numFmtId="0" fontId="8" fillId="7" borderId="38" xfId="0" applyFont="1" applyFill="1" applyBorder="1" applyAlignment="1" applyProtection="1">
      <alignment vertical="center"/>
      <protection locked="0"/>
    </xf>
    <xf numFmtId="0" fontId="8" fillId="7" borderId="39" xfId="0" applyFont="1" applyFill="1" applyBorder="1" applyAlignment="1" applyProtection="1">
      <alignment vertical="center"/>
      <protection locked="0"/>
    </xf>
    <xf numFmtId="0" fontId="4" fillId="36" borderId="11" xfId="0" applyFont="1" applyFill="1" applyBorder="1" applyAlignment="1">
      <alignment vertical="top"/>
    </xf>
    <xf numFmtId="0" fontId="15" fillId="2" borderId="50" xfId="0" applyFont="1" applyFill="1" applyBorder="1" applyAlignment="1">
      <alignment vertical="center"/>
    </xf>
    <xf numFmtId="0" fontId="15" fillId="2" borderId="43" xfId="0" applyFont="1" applyFill="1" applyBorder="1" applyAlignment="1">
      <alignment vertical="center"/>
    </xf>
    <xf numFmtId="0" fontId="15" fillId="2" borderId="51" xfId="0" applyFont="1" applyFill="1" applyBorder="1" applyAlignment="1">
      <alignment vertical="center"/>
    </xf>
    <xf numFmtId="0" fontId="8" fillId="35" borderId="33" xfId="0" applyFont="1" applyFill="1" applyBorder="1" applyAlignment="1">
      <alignment horizontal="left" vertical="top" wrapText="1"/>
    </xf>
    <xf numFmtId="0" fontId="8" fillId="35" borderId="11" xfId="0" applyFont="1" applyFill="1" applyBorder="1" applyAlignment="1">
      <alignment horizontal="left" vertical="center" wrapText="1"/>
    </xf>
    <xf numFmtId="0" fontId="4" fillId="14" borderId="11" xfId="0" applyFont="1" applyFill="1" applyBorder="1" applyAlignment="1">
      <alignment horizontal="left" vertical="top" wrapText="1"/>
    </xf>
    <xf numFmtId="0" fontId="8" fillId="3" borderId="11" xfId="0" applyFont="1" applyFill="1" applyBorder="1" applyAlignment="1">
      <alignment vertical="center" wrapText="1"/>
    </xf>
    <xf numFmtId="0" fontId="9" fillId="0" borderId="11" xfId="0" applyFont="1" applyBorder="1" applyAlignment="1">
      <alignment vertical="center"/>
    </xf>
    <xf numFmtId="0" fontId="8" fillId="37" borderId="11" xfId="0" applyFont="1" applyFill="1" applyBorder="1" applyAlignment="1">
      <alignment horizontal="left" vertical="top" wrapText="1"/>
    </xf>
  </cellXfs>
  <cellStyles count="12">
    <cellStyle name="40% - Accent4" xfId="1" builtinId="43"/>
    <cellStyle name="40% - Accent4 2" xfId="7" xr:uid="{F32F33EB-CE3D-40CB-B21A-74A81C5FF82E}"/>
    <cellStyle name="Comma" xfId="4" builtinId="3"/>
    <cellStyle name="Comma 2" xfId="10" xr:uid="{8ECF01E1-7043-4AA6-807C-5A598FB2523E}"/>
    <cellStyle name="Currency" xfId="2" builtinId="4"/>
    <cellStyle name="Currency 2" xfId="8" xr:uid="{67122BDF-1FB0-4D93-A696-D7EA255B28C7}"/>
    <cellStyle name="Hyperlink" xfId="3" builtinId="8"/>
    <cellStyle name="Hyperlink 2" xfId="9" xr:uid="{EE5764B5-5D5B-4CEA-B81C-E4A21D7D9396}"/>
    <cellStyle name="Normal" xfId="0" builtinId="0"/>
    <cellStyle name="Normal 2" xfId="6" xr:uid="{C6DF1D99-3B3A-458F-B77E-0217E51C2B34}"/>
    <cellStyle name="Percent" xfId="5" builtinId="5"/>
    <cellStyle name="Percent 2" xfId="11" xr:uid="{3242C75C-9347-48A8-94F2-4F907562D3E6}"/>
  </cellStyles>
  <dxfs count="48">
    <dxf>
      <font>
        <b/>
        <i val="0"/>
        <color theme="0"/>
      </font>
      <fill>
        <patternFill>
          <bgColor rgb="FFC00000"/>
        </patternFill>
      </fill>
    </dxf>
    <dxf>
      <font>
        <b val="0"/>
        <i val="0"/>
        <color theme="9" tint="0.59996337778862885"/>
      </font>
      <fill>
        <patternFill>
          <bgColor theme="9" tint="0.59996337778862885"/>
        </patternFill>
      </fill>
    </dxf>
    <dxf>
      <font>
        <color theme="9" tint="0.59996337778862885"/>
      </font>
      <fill>
        <patternFill>
          <bgColor theme="9" tint="0.59996337778862885"/>
        </patternFill>
      </fill>
    </dxf>
    <dxf>
      <font>
        <b/>
        <i val="0"/>
        <color theme="0"/>
      </font>
      <fill>
        <patternFill>
          <bgColor rgb="FFC00000"/>
        </patternFill>
      </fill>
    </dxf>
    <dxf>
      <font>
        <b val="0"/>
        <i val="0"/>
        <color auto="1"/>
      </font>
      <fill>
        <patternFill>
          <bgColor theme="9" tint="0.59996337778862885"/>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color theme="0"/>
      </font>
      <fill>
        <patternFill>
          <bgColor rgb="FFC00000"/>
        </patternFill>
      </fill>
    </dxf>
    <dxf>
      <font>
        <b/>
        <i val="0"/>
        <color theme="0"/>
      </font>
      <fill>
        <patternFill>
          <bgColor rgb="FFC00000"/>
        </patternFill>
      </fill>
    </dxf>
    <dxf>
      <font>
        <b/>
        <i val="0"/>
        <color theme="0"/>
      </font>
      <fill>
        <patternFill>
          <bgColor rgb="FFC00000"/>
        </patternFill>
      </fill>
    </dxf>
    <dxf>
      <font>
        <b/>
        <i/>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color theme="0"/>
      </font>
      <fill>
        <patternFill>
          <bgColor rgb="FFC00000"/>
        </patternFill>
      </fill>
    </dxf>
  </dxfs>
  <tableStyles count="0" defaultTableStyle="TableStyleMedium2" defaultPivotStyle="PivotStyleLight16"/>
  <colors>
    <mruColors>
      <color rgb="FFB7CDD1"/>
      <color rgb="FF76A5AF"/>
      <color rgb="FFC9DAF8"/>
      <color rgb="FFB6D7A8"/>
      <color rgb="FF134F5C"/>
      <color rgb="FFD0E0E3"/>
      <color rgb="FFB7B7B7"/>
      <color rgb="FFFF9999"/>
      <color rgb="FF00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twoCellAnchor editAs="oneCell">
    <xdr:from>
      <xdr:col>1</xdr:col>
      <xdr:colOff>129751</xdr:colOff>
      <xdr:row>58</xdr:row>
      <xdr:rowOff>182457</xdr:rowOff>
    </xdr:from>
    <xdr:to>
      <xdr:col>3</xdr:col>
      <xdr:colOff>1516380</xdr:colOff>
      <xdr:row>65</xdr:row>
      <xdr:rowOff>62176</xdr:rowOff>
    </xdr:to>
    <xdr:pic>
      <xdr:nvPicPr>
        <xdr:cNvPr id="6" name="Pictur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1691" y="11231457"/>
          <a:ext cx="3398309" cy="121321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25400</xdr:colOff>
          <xdr:row>28</xdr:row>
          <xdr:rowOff>152400</xdr:rowOff>
        </xdr:from>
        <xdr:to>
          <xdr:col>5</xdr:col>
          <xdr:colOff>444500</xdr:colOff>
          <xdr:row>30</xdr:row>
          <xdr:rowOff>25400</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8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A1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457200</xdr:colOff>
          <xdr:row>28</xdr:row>
          <xdr:rowOff>152400</xdr:rowOff>
        </xdr:from>
        <xdr:to>
          <xdr:col>5</xdr:col>
          <xdr:colOff>844550</xdr:colOff>
          <xdr:row>30</xdr:row>
          <xdr:rowOff>25400</xdr:rowOff>
        </xdr:to>
        <xdr:sp macro="" textlink="">
          <xdr:nvSpPr>
            <xdr:cNvPr id="10246" name="Check Box 6" hidden="1">
              <a:extLst>
                <a:ext uri="{63B3BB69-23CF-44E3-9099-C40C66FF867C}">
                  <a14:compatExt spid="_x0000_s10246"/>
                </a:ext>
                <a:ext uri="{FF2B5EF4-FFF2-40B4-BE49-F238E27FC236}">
                  <a16:creationId xmlns:a16="http://schemas.microsoft.com/office/drawing/2014/main" id="{00000000-0008-0000-08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A2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901700</xdr:colOff>
          <xdr:row>28</xdr:row>
          <xdr:rowOff>152400</xdr:rowOff>
        </xdr:from>
        <xdr:to>
          <xdr:col>5</xdr:col>
          <xdr:colOff>1295400</xdr:colOff>
          <xdr:row>30</xdr:row>
          <xdr:rowOff>25400</xdr:rowOff>
        </xdr:to>
        <xdr:sp macro="" textlink="">
          <xdr:nvSpPr>
            <xdr:cNvPr id="10249" name="Check Box 9" hidden="1">
              <a:extLst>
                <a:ext uri="{63B3BB69-23CF-44E3-9099-C40C66FF867C}">
                  <a14:compatExt spid="_x0000_s10249"/>
                </a:ext>
                <a:ext uri="{FF2B5EF4-FFF2-40B4-BE49-F238E27FC236}">
                  <a16:creationId xmlns:a16="http://schemas.microsoft.com/office/drawing/2014/main" id="{00000000-0008-0000-08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A3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25400</xdr:colOff>
          <xdr:row>29</xdr:row>
          <xdr:rowOff>158750</xdr:rowOff>
        </xdr:from>
        <xdr:to>
          <xdr:col>5</xdr:col>
          <xdr:colOff>444500</xdr:colOff>
          <xdr:row>31</xdr:row>
          <xdr:rowOff>25400</xdr:rowOff>
        </xdr:to>
        <xdr:sp macro="" textlink="">
          <xdr:nvSpPr>
            <xdr:cNvPr id="10250" name="Check Box 10" hidden="1">
              <a:extLst>
                <a:ext uri="{63B3BB69-23CF-44E3-9099-C40C66FF867C}">
                  <a14:compatExt spid="_x0000_s10250"/>
                </a:ext>
                <a:ext uri="{FF2B5EF4-FFF2-40B4-BE49-F238E27FC236}">
                  <a16:creationId xmlns:a16="http://schemas.microsoft.com/office/drawing/2014/main" id="{00000000-0008-0000-08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A4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457200</xdr:colOff>
          <xdr:row>29</xdr:row>
          <xdr:rowOff>152400</xdr:rowOff>
        </xdr:from>
        <xdr:to>
          <xdr:col>5</xdr:col>
          <xdr:colOff>863600</xdr:colOff>
          <xdr:row>31</xdr:row>
          <xdr:rowOff>25400</xdr:rowOff>
        </xdr:to>
        <xdr:sp macro="" textlink="">
          <xdr:nvSpPr>
            <xdr:cNvPr id="10251" name="Check Box 11" hidden="1">
              <a:extLst>
                <a:ext uri="{63B3BB69-23CF-44E3-9099-C40C66FF867C}">
                  <a14:compatExt spid="_x0000_s10251"/>
                </a:ext>
                <a:ext uri="{FF2B5EF4-FFF2-40B4-BE49-F238E27FC236}">
                  <a16:creationId xmlns:a16="http://schemas.microsoft.com/office/drawing/2014/main" id="{00000000-0008-0000-08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A5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25400</xdr:colOff>
          <xdr:row>30</xdr:row>
          <xdr:rowOff>158750</xdr:rowOff>
        </xdr:from>
        <xdr:to>
          <xdr:col>5</xdr:col>
          <xdr:colOff>444500</xdr:colOff>
          <xdr:row>32</xdr:row>
          <xdr:rowOff>25400</xdr:rowOff>
        </xdr:to>
        <xdr:sp macro="" textlink="">
          <xdr:nvSpPr>
            <xdr:cNvPr id="10253" name="Check Box 13" hidden="1">
              <a:extLst>
                <a:ext uri="{63B3BB69-23CF-44E3-9099-C40C66FF867C}">
                  <a14:compatExt spid="_x0000_s10253"/>
                </a:ext>
                <a:ext uri="{FF2B5EF4-FFF2-40B4-BE49-F238E27FC236}">
                  <a16:creationId xmlns:a16="http://schemas.microsoft.com/office/drawing/2014/main" id="{00000000-0008-0000-08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B1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457200</xdr:colOff>
          <xdr:row>30</xdr:row>
          <xdr:rowOff>177800</xdr:rowOff>
        </xdr:from>
        <xdr:to>
          <xdr:col>5</xdr:col>
          <xdr:colOff>844550</xdr:colOff>
          <xdr:row>32</xdr:row>
          <xdr:rowOff>25400</xdr:rowOff>
        </xdr:to>
        <xdr:sp macro="" textlink="">
          <xdr:nvSpPr>
            <xdr:cNvPr id="10254" name="Check Box 14" hidden="1">
              <a:extLst>
                <a:ext uri="{63B3BB69-23CF-44E3-9099-C40C66FF867C}">
                  <a14:compatExt spid="_x0000_s10254"/>
                </a:ext>
                <a:ext uri="{FF2B5EF4-FFF2-40B4-BE49-F238E27FC236}">
                  <a16:creationId xmlns:a16="http://schemas.microsoft.com/office/drawing/2014/main" id="{00000000-0008-0000-08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B2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901700</xdr:colOff>
          <xdr:row>30</xdr:row>
          <xdr:rowOff>177800</xdr:rowOff>
        </xdr:from>
        <xdr:to>
          <xdr:col>5</xdr:col>
          <xdr:colOff>1295400</xdr:colOff>
          <xdr:row>32</xdr:row>
          <xdr:rowOff>25400</xdr:rowOff>
        </xdr:to>
        <xdr:sp macro="" textlink="">
          <xdr:nvSpPr>
            <xdr:cNvPr id="10255" name="Check Box 15" hidden="1">
              <a:extLst>
                <a:ext uri="{63B3BB69-23CF-44E3-9099-C40C66FF867C}">
                  <a14:compatExt spid="_x0000_s10255"/>
                </a:ext>
                <a:ext uri="{FF2B5EF4-FFF2-40B4-BE49-F238E27FC236}">
                  <a16:creationId xmlns:a16="http://schemas.microsoft.com/office/drawing/2014/main" id="{00000000-0008-0000-08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B3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25400</xdr:colOff>
          <xdr:row>31</xdr:row>
          <xdr:rowOff>158750</xdr:rowOff>
        </xdr:from>
        <xdr:to>
          <xdr:col>5</xdr:col>
          <xdr:colOff>444500</xdr:colOff>
          <xdr:row>33</xdr:row>
          <xdr:rowOff>25400</xdr:rowOff>
        </xdr:to>
        <xdr:sp macro="" textlink="">
          <xdr:nvSpPr>
            <xdr:cNvPr id="10256" name="Check Box 16" hidden="1">
              <a:extLst>
                <a:ext uri="{63B3BB69-23CF-44E3-9099-C40C66FF867C}">
                  <a14:compatExt spid="_x0000_s10256"/>
                </a:ext>
                <a:ext uri="{FF2B5EF4-FFF2-40B4-BE49-F238E27FC236}">
                  <a16:creationId xmlns:a16="http://schemas.microsoft.com/office/drawing/2014/main" id="{00000000-0008-0000-08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C1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457200</xdr:colOff>
          <xdr:row>31</xdr:row>
          <xdr:rowOff>177800</xdr:rowOff>
        </xdr:from>
        <xdr:to>
          <xdr:col>5</xdr:col>
          <xdr:colOff>863600</xdr:colOff>
          <xdr:row>33</xdr:row>
          <xdr:rowOff>31750</xdr:rowOff>
        </xdr:to>
        <xdr:sp macro="" textlink="">
          <xdr:nvSpPr>
            <xdr:cNvPr id="10257" name="Check Box 17" hidden="1">
              <a:extLst>
                <a:ext uri="{63B3BB69-23CF-44E3-9099-C40C66FF867C}">
                  <a14:compatExt spid="_x0000_s10257"/>
                </a:ext>
                <a:ext uri="{FF2B5EF4-FFF2-40B4-BE49-F238E27FC236}">
                  <a16:creationId xmlns:a16="http://schemas.microsoft.com/office/drawing/2014/main" id="{00000000-0008-0000-08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C2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901700</xdr:colOff>
          <xdr:row>31</xdr:row>
          <xdr:rowOff>177800</xdr:rowOff>
        </xdr:from>
        <xdr:to>
          <xdr:col>5</xdr:col>
          <xdr:colOff>1295400</xdr:colOff>
          <xdr:row>33</xdr:row>
          <xdr:rowOff>31750</xdr:rowOff>
        </xdr:to>
        <xdr:sp macro="" textlink="">
          <xdr:nvSpPr>
            <xdr:cNvPr id="10258" name="Check Box 18" hidden="1">
              <a:extLst>
                <a:ext uri="{63B3BB69-23CF-44E3-9099-C40C66FF867C}">
                  <a14:compatExt spid="_x0000_s10258"/>
                </a:ext>
                <a:ext uri="{FF2B5EF4-FFF2-40B4-BE49-F238E27FC236}">
                  <a16:creationId xmlns:a16="http://schemas.microsoft.com/office/drawing/2014/main" id="{00000000-0008-0000-08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C3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25400</xdr:colOff>
          <xdr:row>32</xdr:row>
          <xdr:rowOff>152400</xdr:rowOff>
        </xdr:from>
        <xdr:to>
          <xdr:col>5</xdr:col>
          <xdr:colOff>444500</xdr:colOff>
          <xdr:row>34</xdr:row>
          <xdr:rowOff>25400</xdr:rowOff>
        </xdr:to>
        <xdr:sp macro="" textlink="">
          <xdr:nvSpPr>
            <xdr:cNvPr id="10259" name="Check Box 19" hidden="1">
              <a:extLst>
                <a:ext uri="{63B3BB69-23CF-44E3-9099-C40C66FF867C}">
                  <a14:compatExt spid="_x0000_s10259"/>
                </a:ext>
                <a:ext uri="{FF2B5EF4-FFF2-40B4-BE49-F238E27FC236}">
                  <a16:creationId xmlns:a16="http://schemas.microsoft.com/office/drawing/2014/main" id="{00000000-0008-0000-08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1320800</xdr:colOff>
          <xdr:row>30</xdr:row>
          <xdr:rowOff>177800</xdr:rowOff>
        </xdr:from>
        <xdr:to>
          <xdr:col>5</xdr:col>
          <xdr:colOff>1701800</xdr:colOff>
          <xdr:row>32</xdr:row>
          <xdr:rowOff>25400</xdr:rowOff>
        </xdr:to>
        <xdr:sp macro="" textlink="">
          <xdr:nvSpPr>
            <xdr:cNvPr id="10260" name="Check Box 20" hidden="1">
              <a:extLst>
                <a:ext uri="{63B3BB69-23CF-44E3-9099-C40C66FF867C}">
                  <a14:compatExt spid="_x0000_s10260"/>
                </a:ext>
                <a:ext uri="{FF2B5EF4-FFF2-40B4-BE49-F238E27FC236}">
                  <a16:creationId xmlns:a16="http://schemas.microsoft.com/office/drawing/2014/main" id="{00000000-0008-0000-08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B4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1739900</xdr:colOff>
          <xdr:row>30</xdr:row>
          <xdr:rowOff>158750</xdr:rowOff>
        </xdr:from>
        <xdr:to>
          <xdr:col>6</xdr:col>
          <xdr:colOff>31750</xdr:colOff>
          <xdr:row>32</xdr:row>
          <xdr:rowOff>25400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8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B5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1320800</xdr:colOff>
          <xdr:row>31</xdr:row>
          <xdr:rowOff>177800</xdr:rowOff>
        </xdr:from>
        <xdr:to>
          <xdr:col>5</xdr:col>
          <xdr:colOff>1701800</xdr:colOff>
          <xdr:row>33</xdr:row>
          <xdr:rowOff>31750</xdr:rowOff>
        </xdr:to>
        <xdr:sp macro="" textlink="">
          <xdr:nvSpPr>
            <xdr:cNvPr id="10262" name="Check Box 22" hidden="1">
              <a:extLst>
                <a:ext uri="{63B3BB69-23CF-44E3-9099-C40C66FF867C}">
                  <a14:compatExt spid="_x0000_s10262"/>
                </a:ext>
                <a:ext uri="{FF2B5EF4-FFF2-40B4-BE49-F238E27FC236}">
                  <a16:creationId xmlns:a16="http://schemas.microsoft.com/office/drawing/2014/main" id="{00000000-0008-0000-08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C4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xdr:row>
          <xdr:rowOff>139700</xdr:rowOff>
        </xdr:from>
        <xdr:to>
          <xdr:col>5</xdr:col>
          <xdr:colOff>755650</xdr:colOff>
          <xdr:row>17</xdr:row>
          <xdr:rowOff>31750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8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Interior Walls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876300</xdr:colOff>
          <xdr:row>15</xdr:row>
          <xdr:rowOff>139700</xdr:rowOff>
        </xdr:from>
        <xdr:to>
          <xdr:col>5</xdr:col>
          <xdr:colOff>1473200</xdr:colOff>
          <xdr:row>17</xdr:row>
          <xdr:rowOff>31750</xdr:rowOff>
        </xdr:to>
        <xdr:sp macro="" textlink="">
          <xdr:nvSpPr>
            <xdr:cNvPr id="10268" name="Check Box 28" hidden="1">
              <a:extLst>
                <a:ext uri="{63B3BB69-23CF-44E3-9099-C40C66FF867C}">
                  <a14:compatExt spid="_x0000_s10268"/>
                </a:ext>
                <a:ext uri="{FF2B5EF4-FFF2-40B4-BE49-F238E27FC236}">
                  <a16:creationId xmlns:a16="http://schemas.microsoft.com/office/drawing/2014/main" id="{00000000-0008-0000-0800-00001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Floors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1435100</xdr:colOff>
          <xdr:row>15</xdr:row>
          <xdr:rowOff>139700</xdr:rowOff>
        </xdr:from>
        <xdr:to>
          <xdr:col>6</xdr:col>
          <xdr:colOff>38100</xdr:colOff>
          <xdr:row>17</xdr:row>
          <xdr:rowOff>31750</xdr:rowOff>
        </xdr:to>
        <xdr:sp macro="" textlink="">
          <xdr:nvSpPr>
            <xdr:cNvPr id="10269" name="Check Box 29" hidden="1">
              <a:extLst>
                <a:ext uri="{63B3BB69-23CF-44E3-9099-C40C66FF867C}">
                  <a14:compatExt spid="_x0000_s10269"/>
                </a:ext>
                <a:ext uri="{FF2B5EF4-FFF2-40B4-BE49-F238E27FC236}">
                  <a16:creationId xmlns:a16="http://schemas.microsoft.com/office/drawing/2014/main" id="{00000000-0008-0000-08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Ceilings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31750</xdr:colOff>
          <xdr:row>15</xdr:row>
          <xdr:rowOff>139700</xdr:rowOff>
        </xdr:from>
        <xdr:to>
          <xdr:col>6</xdr:col>
          <xdr:colOff>615950</xdr:colOff>
          <xdr:row>17</xdr:row>
          <xdr:rowOff>31750</xdr:rowOff>
        </xdr:to>
        <xdr:sp macro="" textlink="">
          <xdr:nvSpPr>
            <xdr:cNvPr id="10270" name="Check Box 30" hidden="1">
              <a:extLst>
                <a:ext uri="{63B3BB69-23CF-44E3-9099-C40C66FF867C}">
                  <a14:compatExt spid="_x0000_s10270"/>
                </a:ext>
                <a:ext uri="{FF2B5EF4-FFF2-40B4-BE49-F238E27FC236}">
                  <a16:creationId xmlns:a16="http://schemas.microsoft.com/office/drawing/2014/main" id="{00000000-0008-0000-0800-00001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Roof</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876300</xdr:colOff>
          <xdr:row>17</xdr:row>
          <xdr:rowOff>6350</xdr:rowOff>
        </xdr:from>
        <xdr:to>
          <xdr:col>5</xdr:col>
          <xdr:colOff>1473200</xdr:colOff>
          <xdr:row>18</xdr:row>
          <xdr:rowOff>69850</xdr:rowOff>
        </xdr:to>
        <xdr:sp macro="" textlink="">
          <xdr:nvSpPr>
            <xdr:cNvPr id="10271" name="Check Box 31" hidden="1">
              <a:extLst>
                <a:ext uri="{63B3BB69-23CF-44E3-9099-C40C66FF867C}">
                  <a14:compatExt spid="_x0000_s10271"/>
                </a:ext>
                <a:ext uri="{FF2B5EF4-FFF2-40B4-BE49-F238E27FC236}">
                  <a16:creationId xmlns:a16="http://schemas.microsoft.com/office/drawing/2014/main" id="{00000000-0008-0000-08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Structure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1562100</xdr:colOff>
          <xdr:row>17</xdr:row>
          <xdr:rowOff>6350</xdr:rowOff>
        </xdr:from>
        <xdr:to>
          <xdr:col>6</xdr:col>
          <xdr:colOff>158750</xdr:colOff>
          <xdr:row>18</xdr:row>
          <xdr:rowOff>69850</xdr:rowOff>
        </xdr:to>
        <xdr:sp macro="" textlink="">
          <xdr:nvSpPr>
            <xdr:cNvPr id="10272" name="Check Box 32" hidden="1">
              <a:extLst>
                <a:ext uri="{63B3BB69-23CF-44E3-9099-C40C66FF867C}">
                  <a14:compatExt spid="_x0000_s10272"/>
                </a:ext>
                <a:ext uri="{FF2B5EF4-FFF2-40B4-BE49-F238E27FC236}">
                  <a16:creationId xmlns:a16="http://schemas.microsoft.com/office/drawing/2014/main" id="{00000000-0008-0000-0800-00002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Foundation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6350</xdr:colOff>
          <xdr:row>17</xdr:row>
          <xdr:rowOff>6350</xdr:rowOff>
        </xdr:from>
        <xdr:to>
          <xdr:col>5</xdr:col>
          <xdr:colOff>908050</xdr:colOff>
          <xdr:row>18</xdr:row>
          <xdr:rowOff>69850</xdr:rowOff>
        </xdr:to>
        <xdr:sp macro="" textlink="">
          <xdr:nvSpPr>
            <xdr:cNvPr id="10275" name="Check Box 35" hidden="1">
              <a:extLst>
                <a:ext uri="{63B3BB69-23CF-44E3-9099-C40C66FF867C}">
                  <a14:compatExt spid="_x0000_s10275"/>
                </a:ext>
                <a:ext uri="{FF2B5EF4-FFF2-40B4-BE49-F238E27FC236}">
                  <a16:creationId xmlns:a16="http://schemas.microsoft.com/office/drawing/2014/main" id="{00000000-0008-0000-08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Exterior Walls</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3</xdr:col>
      <xdr:colOff>9525</xdr:colOff>
      <xdr:row>1</xdr:row>
      <xdr:rowOff>57149</xdr:rowOff>
    </xdr:from>
    <xdr:ext cx="2878455" cy="456639"/>
    <xdr:pic>
      <xdr:nvPicPr>
        <xdr:cNvPr id="4" name="image1.jpg" title="Image">
          <a:extLst>
            <a:ext uri="{FF2B5EF4-FFF2-40B4-BE49-F238E27FC236}">
              <a16:creationId xmlns:a16="http://schemas.microsoft.com/office/drawing/2014/main" id="{00000000-0008-0000-0C00-000004000000}"/>
            </a:ext>
          </a:extLst>
        </xdr:cNvPr>
        <xdr:cNvPicPr preferRelativeResize="0"/>
      </xdr:nvPicPr>
      <xdr:blipFill>
        <a:blip xmlns:r="http://schemas.openxmlformats.org/officeDocument/2006/relationships" r:embed="rId1" cstate="print"/>
        <a:stretch>
          <a:fillRect/>
        </a:stretch>
      </xdr:blipFill>
      <xdr:spPr>
        <a:xfrm>
          <a:off x="4947285" y="453389"/>
          <a:ext cx="2878455" cy="456639"/>
        </a:xfrm>
        <a:prstGeom prst="rect">
          <a:avLst/>
        </a:prstGeom>
        <a:noFill/>
      </xdr:spPr>
    </xdr:pic>
    <xdr:clientData fLocksWithSheet="0"/>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transform.aia.org/confluence/display/DDXWIK/Choose+a+Climate+Zone" TargetMode="External"/><Relationship Id="rId7" Type="http://schemas.openxmlformats.org/officeDocument/2006/relationships/printerSettings" Target="../printerSettings/printerSettings1.bin"/><Relationship Id="rId2" Type="http://schemas.openxmlformats.org/officeDocument/2006/relationships/hyperlink" Target="https://zerotool.org/" TargetMode="External"/><Relationship Id="rId1" Type="http://schemas.openxmlformats.org/officeDocument/2006/relationships/hyperlink" Target="https://basc.pnnl.gov/images/iecc-climate-zone-map" TargetMode="External"/><Relationship Id="rId6" Type="http://schemas.openxmlformats.org/officeDocument/2006/relationships/hyperlink" Target="https://www.epa.gov/egrid/power-profiler" TargetMode="External"/><Relationship Id="rId5" Type="http://schemas.openxmlformats.org/officeDocument/2006/relationships/hyperlink" Target="https://network.aia.org/blogs/eana-bacchiocchi/2022/09/26/2023-cote-top-ten-award-submissions-qa" TargetMode="External"/><Relationship Id="rId4" Type="http://schemas.openxmlformats.org/officeDocument/2006/relationships/hyperlink" Target="https://transform.aia.org/confluence/display/DDXWIK/Choose+a+Climate+Zon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8" Type="http://schemas.openxmlformats.org/officeDocument/2006/relationships/hyperlink" Target="http://www.savetexaswater.org/resources/doc/Hoffman_Analysis_Muni_2016.pdf" TargetMode="External"/><Relationship Id="rId3" Type="http://schemas.openxmlformats.org/officeDocument/2006/relationships/hyperlink" Target="https://www.eia.gov/consumption/commercial/building-type-definitions.php" TargetMode="External"/><Relationship Id="rId7" Type="http://schemas.openxmlformats.org/officeDocument/2006/relationships/hyperlink" Target="https://www.energystar.gov/sites/default/files/buildings/tools/DataTrends_Water_20121002.pdf" TargetMode="External"/><Relationship Id="rId12" Type="http://schemas.openxmlformats.org/officeDocument/2006/relationships/printerSettings" Target="../printerSettings/printerSettings14.bin"/><Relationship Id="rId2" Type="http://schemas.openxmlformats.org/officeDocument/2006/relationships/hyperlink" Target="https://2030ddx.aia.org/" TargetMode="External"/><Relationship Id="rId1" Type="http://schemas.openxmlformats.org/officeDocument/2006/relationships/hyperlink" Target="https://www.eia.gov/consumption/commercial/archive/cbecs/cbecs2003/detailed_tables_2003/2003set14/2003html/c3a.html" TargetMode="External"/><Relationship Id="rId6" Type="http://schemas.openxmlformats.org/officeDocument/2006/relationships/hyperlink" Target="https://en.wikipedia.org/wiki/Nonresidential_water_use_in_the_U.S." TargetMode="External"/><Relationship Id="rId11" Type="http://schemas.openxmlformats.org/officeDocument/2006/relationships/hyperlink" Target="https://www.eia.gov/consumption/commercial/data/2012/c&amp;e/pdf/c1.pdf" TargetMode="External"/><Relationship Id="rId5" Type="http://schemas.openxmlformats.org/officeDocument/2006/relationships/hyperlink" Target="https://www.epa.gov/watersense/how-we-use-water" TargetMode="External"/><Relationship Id="rId10" Type="http://schemas.openxmlformats.org/officeDocument/2006/relationships/hyperlink" Target="https://www.eia.gov/consumption/residential/data/2015/c&amp;e/pdf/ce2.1.pdf" TargetMode="External"/><Relationship Id="rId4" Type="http://schemas.openxmlformats.org/officeDocument/2006/relationships/hyperlink" Target="https://portfoliomanager.energystar.gov/pdf/reference/Emissions.pdf" TargetMode="External"/><Relationship Id="rId9" Type="http://schemas.openxmlformats.org/officeDocument/2006/relationships/hyperlink" Target="https://www.eia.gov/consumption/commercial/reports/2012/water/pdf/users%20guide%20to%202012%20water%20public%20use.pdf"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epa.gov/greenvehicles/greenhouse-gas-emissions-typical-passenger-vehicle" TargetMode="External"/><Relationship Id="rId7" Type="http://schemas.openxmlformats.org/officeDocument/2006/relationships/printerSettings" Target="../printerSettings/printerSettings3.bin"/><Relationship Id="rId2" Type="http://schemas.openxmlformats.org/officeDocument/2006/relationships/hyperlink" Target="https://data.census.gov/cedsci/table?d=ACS%205-Year%20Estimates%20Data%20Profiles&amp;tid=ACSDP5Y2019.DP03" TargetMode="External"/><Relationship Id="rId1" Type="http://schemas.openxmlformats.org/officeDocument/2006/relationships/hyperlink" Target="https://nhts.ornl.gov/assets/2017_nhts_summary_travel_trends.pd" TargetMode="External"/><Relationship Id="rId6" Type="http://schemas.openxmlformats.org/officeDocument/2006/relationships/hyperlink" Target="https://www.brookings.edu/articles/what-is-the-social-cost-of-carbon/" TargetMode="External"/><Relationship Id="rId5" Type="http://schemas.openxmlformats.org/officeDocument/2006/relationships/hyperlink" Target="https://19january2017snapshot.epa.gov/sites/production/files/2016-12/documents/social_cost_of_carbon_fact_sheet.pdf" TargetMode="External"/><Relationship Id="rId4" Type="http://schemas.openxmlformats.org/officeDocument/2006/relationships/hyperlink" Target="https://nepis.epa.gov/Exe/ZyPDF.cgi?Dockey=P1010U68.pdf"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climatepositivedesign.com/" TargetMode="External"/><Relationship Id="rId1" Type="http://schemas.openxmlformats.org/officeDocument/2006/relationships/hyperlink" Target="https://carbon-conscience.web.app/"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hdsc.nws.noaa.gov/hdsc/pfds/" TargetMode="External"/><Relationship Id="rId2" Type="http://schemas.openxmlformats.org/officeDocument/2006/relationships/hyperlink" Target="https://www.epa.gov/watersense/water-budget-tool" TargetMode="External"/><Relationship Id="rId1" Type="http://schemas.openxmlformats.org/officeDocument/2006/relationships/hyperlink" Target="https://www.epa.gov/watersense/water-budget-data-finder" TargetMode="Externa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gsa.gov/policy-regulations/policy/real-property-policy/best-practices-and-tools/office-workplace-best-practices/workspace-utilization-and-allocation" TargetMode="External"/><Relationship Id="rId1" Type="http://schemas.openxmlformats.org/officeDocument/2006/relationships/hyperlink" Target="https://facilityexecutive.com/2017/07/boma-shares-2017-office-industrial-property-benchmarking-reports/"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eia.gov/biofuels/biomass/"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www.usgbc.org/resources/environmental-quality-space-type-matrix" TargetMode="External"/><Relationship Id="rId2" Type="http://schemas.openxmlformats.org/officeDocument/2006/relationships/hyperlink" Target="https://www.techstreet.com/ashrae/standards/ashrae-62-1-2010?product_id=1720986" TargetMode="External"/><Relationship Id="rId1" Type="http://schemas.openxmlformats.org/officeDocument/2006/relationships/hyperlink" Target="https://www.usgbc.org/resources/table-1-maximum-concentration-levels-contaminant-and-testing" TargetMode="External"/><Relationship Id="rId5" Type="http://schemas.openxmlformats.org/officeDocument/2006/relationships/printerSettings" Target="../printerSettings/printerSettings8.bin"/><Relationship Id="rId4" Type="http://schemas.openxmlformats.org/officeDocument/2006/relationships/hyperlink" Target="https://www.techstreet.com/ashrae/standards/ashrae-62-1-2010?product_id=1720986" TargetMode="Externa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xml"/><Relationship Id="rId13" Type="http://schemas.openxmlformats.org/officeDocument/2006/relationships/ctrlProp" Target="../ctrlProps/ctrlProp6.xml"/><Relationship Id="rId18" Type="http://schemas.openxmlformats.org/officeDocument/2006/relationships/ctrlProp" Target="../ctrlProps/ctrlProp11.xml"/><Relationship Id="rId26" Type="http://schemas.openxmlformats.org/officeDocument/2006/relationships/ctrlProp" Target="../ctrlProps/ctrlProp19.xml"/><Relationship Id="rId3" Type="http://schemas.openxmlformats.org/officeDocument/2006/relationships/hyperlink" Target="https://epic.ehdd.com/" TargetMode="External"/><Relationship Id="rId21" Type="http://schemas.openxmlformats.org/officeDocument/2006/relationships/ctrlProp" Target="../ctrlProps/ctrlProp14.xml"/><Relationship Id="rId7" Type="http://schemas.openxmlformats.org/officeDocument/2006/relationships/vmlDrawing" Target="../drawings/vmlDrawing1.vml"/><Relationship Id="rId12" Type="http://schemas.openxmlformats.org/officeDocument/2006/relationships/ctrlProp" Target="../ctrlProps/ctrlProp5.xml"/><Relationship Id="rId17" Type="http://schemas.openxmlformats.org/officeDocument/2006/relationships/ctrlProp" Target="../ctrlProps/ctrlProp10.xml"/><Relationship Id="rId25" Type="http://schemas.openxmlformats.org/officeDocument/2006/relationships/ctrlProp" Target="../ctrlProps/ctrlProp18.xml"/><Relationship Id="rId2" Type="http://schemas.openxmlformats.org/officeDocument/2006/relationships/hyperlink" Target="http://www.buildcarbonneutral.org/" TargetMode="External"/><Relationship Id="rId16" Type="http://schemas.openxmlformats.org/officeDocument/2006/relationships/ctrlProp" Target="../ctrlProps/ctrlProp9.xml"/><Relationship Id="rId20" Type="http://schemas.openxmlformats.org/officeDocument/2006/relationships/ctrlProp" Target="../ctrlProps/ctrlProp13.xml"/><Relationship Id="rId29" Type="http://schemas.openxmlformats.org/officeDocument/2006/relationships/ctrlProp" Target="../ctrlProps/ctrlProp22.xml"/><Relationship Id="rId1" Type="http://schemas.openxmlformats.org/officeDocument/2006/relationships/hyperlink" Target="https://carbonleadershipforum.org/" TargetMode="External"/><Relationship Id="rId6" Type="http://schemas.openxmlformats.org/officeDocument/2006/relationships/drawing" Target="../drawings/drawing2.xml"/><Relationship Id="rId11" Type="http://schemas.openxmlformats.org/officeDocument/2006/relationships/ctrlProp" Target="../ctrlProps/ctrlProp4.xml"/><Relationship Id="rId24" Type="http://schemas.openxmlformats.org/officeDocument/2006/relationships/ctrlProp" Target="../ctrlProps/ctrlProp17.xml"/><Relationship Id="rId5" Type="http://schemas.openxmlformats.org/officeDocument/2006/relationships/printerSettings" Target="../printerSettings/printerSettings9.bin"/><Relationship Id="rId15" Type="http://schemas.openxmlformats.org/officeDocument/2006/relationships/ctrlProp" Target="../ctrlProps/ctrlProp8.xml"/><Relationship Id="rId23" Type="http://schemas.openxmlformats.org/officeDocument/2006/relationships/ctrlProp" Target="../ctrlProps/ctrlProp16.xml"/><Relationship Id="rId28" Type="http://schemas.openxmlformats.org/officeDocument/2006/relationships/ctrlProp" Target="../ctrlProps/ctrlProp21.xml"/><Relationship Id="rId10" Type="http://schemas.openxmlformats.org/officeDocument/2006/relationships/ctrlProp" Target="../ctrlProps/ctrlProp3.xml"/><Relationship Id="rId19" Type="http://schemas.openxmlformats.org/officeDocument/2006/relationships/ctrlProp" Target="../ctrlProps/ctrlProp12.xml"/><Relationship Id="rId4" Type="http://schemas.openxmlformats.org/officeDocument/2006/relationships/hyperlink" Target="https://architecture2030.org/caretool/" TargetMode="External"/><Relationship Id="rId9" Type="http://schemas.openxmlformats.org/officeDocument/2006/relationships/ctrlProp" Target="../ctrlProps/ctrlProp2.xml"/><Relationship Id="rId14" Type="http://schemas.openxmlformats.org/officeDocument/2006/relationships/ctrlProp" Target="../ctrlProps/ctrlProp7.xml"/><Relationship Id="rId22" Type="http://schemas.openxmlformats.org/officeDocument/2006/relationships/ctrlProp" Target="../ctrlProps/ctrlProp15.xml"/><Relationship Id="rId27" Type="http://schemas.openxmlformats.org/officeDocument/2006/relationships/ctrlProp" Target="../ctrlProps/ctrlProp2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outlinePr summaryBelow="0" summaryRight="0"/>
  </sheetPr>
  <dimension ref="A1:Z140"/>
  <sheetViews>
    <sheetView tabSelected="1" topLeftCell="J1" workbookViewId="0">
      <selection activeCell="R14" sqref="R14"/>
    </sheetView>
  </sheetViews>
  <sheetFormatPr defaultColWidth="14.453125" defaultRowHeight="15" customHeight="1" x14ac:dyDescent="0.35"/>
  <cols>
    <col min="1" max="1" width="4.08984375" customWidth="1"/>
    <col min="2" max="2" width="26.6328125" customWidth="1"/>
    <col min="3" max="3" width="2.6328125" customWidth="1"/>
    <col min="4" max="4" width="26.6328125" customWidth="1"/>
    <col min="5" max="6" width="3.08984375" customWidth="1"/>
    <col min="7" max="7" width="28.54296875" customWidth="1"/>
    <col min="8" max="8" width="38.54296875" style="688" customWidth="1"/>
    <col min="9" max="9" width="4.6328125" customWidth="1"/>
    <col min="10" max="10" width="15.453125" bestFit="1" customWidth="1"/>
    <col min="11" max="11" width="12.6328125" style="688" bestFit="1" customWidth="1"/>
    <col min="12" max="12" width="3.6328125" customWidth="1"/>
    <col min="13" max="13" width="3.08984375" style="329" customWidth="1"/>
    <col min="14" max="14" width="3.6328125" style="686" customWidth="1"/>
    <col min="15" max="15" width="39.54296875" style="686" customWidth="1"/>
    <col min="16" max="16" width="24.6328125" style="687" customWidth="1"/>
    <col min="17" max="17" width="20.6328125" style="686" customWidth="1"/>
    <col min="18" max="18" width="36.6328125" style="686" customWidth="1"/>
    <col min="19" max="19" width="3.6328125" style="686" customWidth="1"/>
    <col min="20" max="20" width="3.08984375" style="329" customWidth="1"/>
    <col min="21" max="22" width="14.453125" customWidth="1"/>
  </cols>
  <sheetData>
    <row r="1" spans="1:20" ht="15" customHeight="1" thickBot="1" x14ac:dyDescent="0.4">
      <c r="A1" s="483"/>
      <c r="B1" s="1579" t="s">
        <v>954</v>
      </c>
      <c r="C1" s="1579"/>
      <c r="D1" s="1579"/>
      <c r="E1" s="1579"/>
      <c r="F1" s="1579"/>
      <c r="G1" s="1579"/>
      <c r="H1" s="1579"/>
      <c r="I1" s="1579"/>
      <c r="J1" s="1579"/>
      <c r="K1" s="1579"/>
      <c r="L1" s="1579"/>
      <c r="M1" s="1579"/>
      <c r="N1" s="1579"/>
      <c r="O1" s="1579"/>
      <c r="P1" s="1579"/>
      <c r="Q1" s="1579"/>
      <c r="R1" s="1579"/>
      <c r="S1" s="1579"/>
    </row>
    <row r="2" spans="1:20" ht="15" customHeight="1" x14ac:dyDescent="0.35">
      <c r="A2" s="484"/>
      <c r="B2" s="485"/>
      <c r="C2" s="485"/>
      <c r="D2" s="485"/>
      <c r="E2" s="485"/>
      <c r="F2" s="485"/>
      <c r="G2" s="485"/>
      <c r="H2" s="486"/>
      <c r="I2" s="485"/>
      <c r="J2" s="485"/>
      <c r="K2" s="487"/>
      <c r="L2" s="488"/>
      <c r="M2" s="489"/>
      <c r="N2" s="490"/>
      <c r="O2" s="490"/>
      <c r="P2" s="17"/>
      <c r="Q2" s="490"/>
      <c r="R2" s="490"/>
      <c r="S2" s="490"/>
    </row>
    <row r="3" spans="1:20" ht="15" customHeight="1" thickBot="1" x14ac:dyDescent="0.4">
      <c r="A3" s="491"/>
      <c r="B3" s="492" t="s">
        <v>0</v>
      </c>
      <c r="C3" s="492"/>
      <c r="D3" s="492"/>
      <c r="E3" s="492"/>
      <c r="F3" s="1587" t="s">
        <v>686</v>
      </c>
      <c r="G3" s="1588"/>
      <c r="H3" s="1588"/>
      <c r="I3" s="1588"/>
      <c r="J3" s="1588"/>
      <c r="K3" s="1588"/>
      <c r="L3" s="1588"/>
      <c r="M3" s="494"/>
      <c r="N3" s="495" t="s">
        <v>1</v>
      </c>
      <c r="O3" s="495"/>
      <c r="P3" s="496"/>
      <c r="Q3" s="497"/>
      <c r="R3" s="497"/>
      <c r="S3" s="490"/>
    </row>
    <row r="4" spans="1:20" ht="15" customHeight="1" x14ac:dyDescent="0.35">
      <c r="A4" s="498"/>
      <c r="B4" s="1583" t="s">
        <v>1216</v>
      </c>
      <c r="C4" s="1584"/>
      <c r="D4" s="1585"/>
      <c r="E4" s="499"/>
      <c r="F4" s="500" t="s">
        <v>1013</v>
      </c>
      <c r="G4" s="501"/>
      <c r="H4" s="502"/>
      <c r="I4" s="503"/>
      <c r="J4" s="503"/>
      <c r="K4" s="502"/>
      <c r="L4" s="504"/>
      <c r="M4" s="330"/>
      <c r="N4" s="500" t="s">
        <v>2</v>
      </c>
      <c r="O4" s="505"/>
      <c r="P4" s="505"/>
      <c r="Q4" s="505"/>
      <c r="R4" s="506"/>
      <c r="S4" s="507"/>
    </row>
    <row r="5" spans="1:20" ht="15" customHeight="1" x14ac:dyDescent="0.35">
      <c r="A5" s="485"/>
      <c r="B5" s="1583"/>
      <c r="C5" s="1584"/>
      <c r="D5" s="1585"/>
      <c r="E5" s="508"/>
      <c r="F5" s="509"/>
      <c r="G5" s="510"/>
      <c r="H5" s="511"/>
      <c r="I5" s="510"/>
      <c r="J5" s="510"/>
      <c r="K5" s="511"/>
      <c r="L5" s="512"/>
      <c r="M5" s="513"/>
      <c r="N5" s="514" t="s">
        <v>4</v>
      </c>
      <c r="O5" s="515"/>
      <c r="P5" s="516">
        <f>Transport_CO2_per_Occupant_Year_Benchmark*Occupancy_Daily_Avg</f>
        <v>0</v>
      </c>
      <c r="Q5" s="517" t="s">
        <v>5</v>
      </c>
      <c r="R5" s="515"/>
      <c r="S5" s="518"/>
    </row>
    <row r="6" spans="1:20" ht="15" customHeight="1" x14ac:dyDescent="0.35">
      <c r="A6" s="485"/>
      <c r="B6" s="1583"/>
      <c r="C6" s="1584"/>
      <c r="D6" s="1585"/>
      <c r="E6" s="508"/>
      <c r="F6" s="519"/>
      <c r="G6" s="520" t="s">
        <v>3</v>
      </c>
      <c r="H6" s="385"/>
      <c r="I6" s="521"/>
      <c r="J6" s="522"/>
      <c r="K6" s="523"/>
      <c r="L6" s="524"/>
      <c r="M6" s="330"/>
      <c r="N6" s="525" t="s">
        <v>7</v>
      </c>
      <c r="O6" s="526"/>
      <c r="P6" s="527">
        <f>Transport_CO2_per_Occupant_Year_Benchmark</f>
        <v>1729.2353152610444</v>
      </c>
      <c r="Q6" s="528" t="s">
        <v>8</v>
      </c>
      <c r="R6" s="526"/>
      <c r="S6" s="529"/>
    </row>
    <row r="7" spans="1:20" ht="15" customHeight="1" x14ac:dyDescent="0.35">
      <c r="A7" s="485"/>
      <c r="B7" s="1583"/>
      <c r="C7" s="1584"/>
      <c r="D7" s="1585"/>
      <c r="E7" s="508"/>
      <c r="F7" s="519"/>
      <c r="G7" s="530" t="s">
        <v>6</v>
      </c>
      <c r="H7" s="385"/>
      <c r="I7" s="521"/>
      <c r="J7" s="522"/>
      <c r="K7" s="523"/>
      <c r="L7" s="524"/>
      <c r="M7" s="330"/>
      <c r="N7" s="531"/>
      <c r="O7" s="531"/>
      <c r="P7" s="532"/>
      <c r="Q7" s="533"/>
      <c r="R7" s="534"/>
      <c r="S7" s="534"/>
    </row>
    <row r="8" spans="1:20" ht="15" customHeight="1" x14ac:dyDescent="0.35">
      <c r="A8" s="485"/>
      <c r="B8" s="1583"/>
      <c r="C8" s="1584"/>
      <c r="D8" s="1585"/>
      <c r="E8" s="508"/>
      <c r="F8" s="519"/>
      <c r="G8" s="530" t="s">
        <v>9</v>
      </c>
      <c r="H8" s="385"/>
      <c r="I8" s="521"/>
      <c r="J8" s="522"/>
      <c r="K8" s="523"/>
      <c r="L8" s="524"/>
      <c r="M8" s="330"/>
      <c r="N8" s="535" t="s">
        <v>11</v>
      </c>
      <c r="O8" s="536"/>
      <c r="P8" s="536"/>
      <c r="Q8" s="537"/>
      <c r="R8" s="536"/>
      <c r="S8" s="538"/>
    </row>
    <row r="9" spans="1:20" ht="15" customHeight="1" x14ac:dyDescent="0.35">
      <c r="A9" s="485"/>
      <c r="B9" s="1583"/>
      <c r="C9" s="1584"/>
      <c r="D9" s="1585"/>
      <c r="E9" s="508"/>
      <c r="F9" s="519"/>
      <c r="G9" s="530" t="s">
        <v>987</v>
      </c>
      <c r="H9" s="385"/>
      <c r="I9" s="521"/>
      <c r="J9" s="522"/>
      <c r="K9" s="523"/>
      <c r="L9" s="524"/>
      <c r="M9" s="330"/>
      <c r="N9" s="539" t="s">
        <v>13</v>
      </c>
      <c r="O9" s="540"/>
      <c r="P9" s="527">
        <f ca="1">Water_Use_Intensity_Benchmark*Area_Building</f>
        <v>0</v>
      </c>
      <c r="Q9" s="517" t="s">
        <v>14</v>
      </c>
      <c r="R9" s="515"/>
      <c r="S9" s="518"/>
    </row>
    <row r="10" spans="1:20" ht="15" customHeight="1" x14ac:dyDescent="0.35">
      <c r="A10" s="485"/>
      <c r="B10" s="1583"/>
      <c r="C10" s="1584"/>
      <c r="D10" s="1585"/>
      <c r="E10" s="508"/>
      <c r="F10" s="519"/>
      <c r="G10" s="530" t="s">
        <v>10</v>
      </c>
      <c r="H10" s="385"/>
      <c r="I10" s="521"/>
      <c r="J10" s="522"/>
      <c r="K10" s="523"/>
      <c r="L10" s="524"/>
      <c r="M10" s="330"/>
      <c r="N10" s="541" t="s">
        <v>15</v>
      </c>
      <c r="O10" s="542"/>
      <c r="P10" s="543">
        <f>Water_Use_Intensity_Benchmark_Calculated</f>
        <v>0</v>
      </c>
      <c r="Q10" s="345" t="s">
        <v>16</v>
      </c>
      <c r="R10" s="544" t="s">
        <v>17</v>
      </c>
      <c r="S10" s="545"/>
    </row>
    <row r="11" spans="1:20" ht="15" customHeight="1" x14ac:dyDescent="0.35">
      <c r="A11" s="485"/>
      <c r="B11" s="1583"/>
      <c r="C11" s="1584"/>
      <c r="D11" s="1585"/>
      <c r="E11" s="508"/>
      <c r="F11" s="519"/>
      <c r="G11" s="530" t="s">
        <v>988</v>
      </c>
      <c r="H11" s="385"/>
      <c r="I11" s="336" t="s">
        <v>687</v>
      </c>
      <c r="J11" s="522"/>
      <c r="K11" s="523"/>
      <c r="L11" s="524"/>
      <c r="M11" s="330"/>
      <c r="N11" s="541" t="s">
        <v>19</v>
      </c>
      <c r="O11" s="542"/>
      <c r="P11" s="305"/>
      <c r="Q11" s="345" t="s">
        <v>16</v>
      </c>
      <c r="R11" s="13"/>
      <c r="S11" s="546"/>
    </row>
    <row r="12" spans="1:20" ht="15" customHeight="1" x14ac:dyDescent="0.35">
      <c r="A12" s="485"/>
      <c r="B12" s="1583"/>
      <c r="C12" s="1584"/>
      <c r="D12" s="1585"/>
      <c r="E12" s="508"/>
      <c r="F12" s="519"/>
      <c r="G12" s="338" t="s">
        <v>989</v>
      </c>
      <c r="H12" s="385"/>
      <c r="I12" s="453"/>
      <c r="J12" s="522"/>
      <c r="K12" s="523"/>
      <c r="L12" s="524"/>
      <c r="M12" s="330"/>
      <c r="N12" s="547" t="s">
        <v>20</v>
      </c>
      <c r="O12" s="548"/>
      <c r="P12" s="527" t="str">
        <f ca="1">IFERROR(Water_Use_Total_Benchmark/Occupancy_Daily_Avg,"")</f>
        <v/>
      </c>
      <c r="Q12" s="528" t="s">
        <v>21</v>
      </c>
      <c r="R12" s="526"/>
      <c r="S12" s="529"/>
    </row>
    <row r="13" spans="1:20" ht="15" customHeight="1" x14ac:dyDescent="0.35">
      <c r="A13" s="485"/>
      <c r="B13" s="1583"/>
      <c r="C13" s="1584"/>
      <c r="D13" s="1585"/>
      <c r="E13" s="508"/>
      <c r="F13" s="519"/>
      <c r="G13" s="530" t="s">
        <v>986</v>
      </c>
      <c r="H13" s="386"/>
      <c r="I13" s="521"/>
      <c r="J13" s="1524"/>
      <c r="K13" s="550"/>
      <c r="L13" s="524"/>
      <c r="M13" s="330"/>
      <c r="N13" s="330"/>
      <c r="O13" s="330"/>
      <c r="P13" s="330"/>
      <c r="Q13" s="551"/>
      <c r="R13" s="330"/>
      <c r="S13" s="552"/>
    </row>
    <row r="14" spans="1:20" ht="15" customHeight="1" x14ac:dyDescent="0.35">
      <c r="A14" s="485"/>
      <c r="B14" s="1583"/>
      <c r="C14" s="1584"/>
      <c r="D14" s="1585"/>
      <c r="E14" s="508"/>
      <c r="F14" s="519"/>
      <c r="G14" s="553"/>
      <c r="H14" s="554"/>
      <c r="I14" s="553"/>
      <c r="J14" s="553"/>
      <c r="K14" s="555"/>
      <c r="L14" s="556"/>
      <c r="M14" s="513"/>
      <c r="N14" s="535" t="s">
        <v>23</v>
      </c>
      <c r="O14" s="536"/>
      <c r="P14" s="536"/>
      <c r="Q14" s="537"/>
      <c r="R14" s="536"/>
      <c r="S14" s="538"/>
    </row>
    <row r="15" spans="1:20" ht="15" customHeight="1" x14ac:dyDescent="0.35">
      <c r="A15" s="485"/>
      <c r="B15" s="1583"/>
      <c r="C15" s="1584"/>
      <c r="D15" s="1585"/>
      <c r="E15" s="508"/>
      <c r="F15" s="519"/>
      <c r="G15" s="530" t="s">
        <v>18</v>
      </c>
      <c r="H15" s="385"/>
      <c r="I15" s="336" t="s">
        <v>687</v>
      </c>
      <c r="J15" s="337" t="s">
        <v>1181</v>
      </c>
      <c r="K15" s="457"/>
      <c r="L15" s="524"/>
      <c r="M15" s="330"/>
      <c r="N15" s="557" t="s">
        <v>24</v>
      </c>
      <c r="O15" s="558"/>
      <c r="P15" s="527">
        <f ca="1">EUI_Benchmark*Area_Building</f>
        <v>0</v>
      </c>
      <c r="Q15" s="517" t="s">
        <v>25</v>
      </c>
      <c r="R15" s="515"/>
      <c r="S15" s="560"/>
      <c r="T15" s="330"/>
    </row>
    <row r="16" spans="1:20" ht="15" customHeight="1" x14ac:dyDescent="0.35">
      <c r="A16" s="485"/>
      <c r="B16" s="1583"/>
      <c r="C16" s="1584"/>
      <c r="D16" s="1585"/>
      <c r="E16" s="508"/>
      <c r="F16" s="519"/>
      <c r="G16" s="338" t="s">
        <v>984</v>
      </c>
      <c r="H16" s="388"/>
      <c r="I16" s="561"/>
      <c r="J16" s="549" t="s">
        <v>1182</v>
      </c>
      <c r="K16" s="457"/>
      <c r="L16" s="524"/>
      <c r="M16" s="330"/>
      <c r="N16" s="562" t="s">
        <v>27</v>
      </c>
      <c r="O16" s="563"/>
      <c r="P16" s="543">
        <f>EUI_Benchmark_Calculated</f>
        <v>0</v>
      </c>
      <c r="Q16" s="345" t="s">
        <v>28</v>
      </c>
      <c r="R16" s="454"/>
      <c r="S16" s="308"/>
      <c r="T16" s="330"/>
    </row>
    <row r="17" spans="1:26" ht="15" customHeight="1" x14ac:dyDescent="0.35">
      <c r="A17" s="485"/>
      <c r="B17" s="1583"/>
      <c r="C17" s="1584"/>
      <c r="D17" s="1585"/>
      <c r="E17" s="508"/>
      <c r="F17" s="519"/>
      <c r="G17" s="564"/>
      <c r="H17" s="565"/>
      <c r="I17" s="566"/>
      <c r="J17" s="566"/>
      <c r="K17" s="567"/>
      <c r="L17" s="568"/>
      <c r="M17" s="513"/>
      <c r="N17" s="562" t="s">
        <v>29</v>
      </c>
      <c r="O17" s="563"/>
      <c r="P17" s="1482"/>
      <c r="Q17" s="345" t="s">
        <v>28</v>
      </c>
      <c r="R17" s="454" t="s">
        <v>30</v>
      </c>
      <c r="S17" s="308"/>
      <c r="T17" s="330"/>
    </row>
    <row r="18" spans="1:26" ht="15" customHeight="1" x14ac:dyDescent="0.35">
      <c r="A18" s="485"/>
      <c r="B18" s="1583"/>
      <c r="C18" s="1584"/>
      <c r="D18" s="1585"/>
      <c r="E18" s="508"/>
      <c r="F18" s="519"/>
      <c r="G18" s="530" t="s">
        <v>62</v>
      </c>
      <c r="H18" s="388"/>
      <c r="I18" s="331" t="s">
        <v>687</v>
      </c>
      <c r="J18" s="522"/>
      <c r="K18" s="523"/>
      <c r="L18" s="524"/>
      <c r="M18" s="330"/>
      <c r="N18" s="569" t="s">
        <v>31</v>
      </c>
      <c r="O18" s="570"/>
      <c r="P18" s="527" t="str">
        <f ca="1">IFERROR(Energy_Use_Annual_Total_Benchmark/Occupancy_Daily_Avg,"")</f>
        <v/>
      </c>
      <c r="Q18" s="528" t="s">
        <v>32</v>
      </c>
      <c r="R18" s="526"/>
      <c r="S18" s="529"/>
      <c r="T18" s="332"/>
    </row>
    <row r="19" spans="1:26" ht="15" customHeight="1" x14ac:dyDescent="0.35">
      <c r="A19" s="485"/>
      <c r="B19" s="1580" t="s">
        <v>1157</v>
      </c>
      <c r="C19" s="1581"/>
      <c r="D19" s="1582"/>
      <c r="E19" s="508"/>
      <c r="F19" s="519"/>
      <c r="G19" s="530" t="s">
        <v>63</v>
      </c>
      <c r="H19" s="388"/>
      <c r="I19" s="331" t="s">
        <v>687</v>
      </c>
      <c r="J19" s="522"/>
      <c r="K19" s="523"/>
      <c r="L19" s="524"/>
      <c r="M19" s="330"/>
      <c r="N19" s="531"/>
      <c r="O19" s="531"/>
      <c r="P19" s="571"/>
      <c r="Q19" s="533"/>
      <c r="R19" s="534"/>
      <c r="S19" s="572"/>
      <c r="T19" s="332"/>
    </row>
    <row r="20" spans="1:26" ht="15" customHeight="1" x14ac:dyDescent="0.35">
      <c r="A20" s="485"/>
      <c r="B20" s="573"/>
      <c r="C20" s="573"/>
      <c r="D20" s="573"/>
      <c r="E20" s="508"/>
      <c r="F20" s="519"/>
      <c r="G20" s="530" t="s">
        <v>64</v>
      </c>
      <c r="H20" s="388"/>
      <c r="I20" s="331" t="s">
        <v>687</v>
      </c>
      <c r="J20" s="522"/>
      <c r="K20" s="523"/>
      <c r="L20" s="524"/>
      <c r="M20" s="330"/>
      <c r="N20" s="535" t="s">
        <v>37</v>
      </c>
      <c r="O20" s="536"/>
      <c r="P20" s="574"/>
      <c r="Q20" s="537"/>
      <c r="R20" s="536"/>
      <c r="S20" s="538"/>
      <c r="T20" s="332"/>
    </row>
    <row r="21" spans="1:26" ht="15" customHeight="1" x14ac:dyDescent="0.35">
      <c r="A21" s="575"/>
      <c r="B21" s="332"/>
      <c r="C21" s="332"/>
      <c r="D21" s="332"/>
      <c r="E21" s="576"/>
      <c r="F21" s="519"/>
      <c r="G21" s="530" t="s">
        <v>34</v>
      </c>
      <c r="H21" s="452"/>
      <c r="I21" s="577" t="s">
        <v>928</v>
      </c>
      <c r="J21" s="553"/>
      <c r="K21" s="555"/>
      <c r="L21" s="578"/>
      <c r="M21" s="330"/>
      <c r="N21" s="541" t="s">
        <v>1012</v>
      </c>
      <c r="O21" s="542"/>
      <c r="P21" s="1481">
        <v>852.3</v>
      </c>
      <c r="Q21" s="345" t="s">
        <v>1011</v>
      </c>
      <c r="R21" s="454" t="s">
        <v>1124</v>
      </c>
      <c r="S21" s="579"/>
      <c r="T21" s="332"/>
    </row>
    <row r="22" spans="1:26" ht="15" customHeight="1" x14ac:dyDescent="0.35">
      <c r="A22" s="485"/>
      <c r="B22" s="498"/>
      <c r="C22" s="498"/>
      <c r="D22" s="498"/>
      <c r="E22" s="575"/>
      <c r="F22" s="580"/>
      <c r="G22" s="553"/>
      <c r="H22" s="555"/>
      <c r="I22" s="553"/>
      <c r="J22" s="553"/>
      <c r="K22" s="555"/>
      <c r="L22" s="556"/>
      <c r="M22" s="330"/>
      <c r="N22" s="541" t="s">
        <v>38</v>
      </c>
      <c r="O22" s="581"/>
      <c r="P22" s="527">
        <f ca="1">Operational_Carbon_Intensity_Benchmark*Area_Building</f>
        <v>0</v>
      </c>
      <c r="Q22" s="582" t="s">
        <v>5</v>
      </c>
      <c r="R22" s="583"/>
      <c r="S22" s="518"/>
    </row>
    <row r="23" spans="1:26" ht="15" customHeight="1" x14ac:dyDescent="0.35">
      <c r="A23" s="485"/>
      <c r="B23" s="584" t="s">
        <v>33</v>
      </c>
      <c r="C23" s="585"/>
      <c r="D23" s="586"/>
      <c r="E23" s="575"/>
      <c r="F23" s="580"/>
      <c r="G23" s="587" t="s">
        <v>40</v>
      </c>
      <c r="H23" s="339"/>
      <c r="I23" s="577" t="s">
        <v>41</v>
      </c>
      <c r="J23" s="553"/>
      <c r="K23" s="555"/>
      <c r="L23" s="578"/>
      <c r="M23" s="330"/>
      <c r="N23" s="541" t="s">
        <v>42</v>
      </c>
      <c r="O23" s="542"/>
      <c r="P23" s="543">
        <f>Operational_Carbon_Intensity_Benchmark_Calculated</f>
        <v>0</v>
      </c>
      <c r="Q23" s="345" t="s">
        <v>43</v>
      </c>
      <c r="R23" s="544" t="s">
        <v>17</v>
      </c>
      <c r="S23" s="545"/>
    </row>
    <row r="24" spans="1:26" ht="15" customHeight="1" x14ac:dyDescent="0.35">
      <c r="A24" s="485"/>
      <c r="B24" s="588" t="s">
        <v>35</v>
      </c>
      <c r="C24" s="589"/>
      <c r="D24" s="590" t="s">
        <v>0</v>
      </c>
      <c r="E24" s="508"/>
      <c r="F24" s="519"/>
      <c r="G24" s="530"/>
      <c r="H24" s="466" t="str">
        <f>IFERROR(Construction_Cost_Total/Area_Building,"")</f>
        <v/>
      </c>
      <c r="I24" s="577" t="s">
        <v>1070</v>
      </c>
      <c r="J24" s="591"/>
      <c r="K24" s="523"/>
      <c r="L24" s="578"/>
      <c r="M24" s="592"/>
      <c r="N24" s="541" t="s">
        <v>45</v>
      </c>
      <c r="O24" s="542"/>
      <c r="P24" s="305"/>
      <c r="Q24" s="345" t="s">
        <v>43</v>
      </c>
      <c r="R24" s="13"/>
      <c r="S24" s="546"/>
    </row>
    <row r="25" spans="1:26" ht="15" customHeight="1" x14ac:dyDescent="0.35">
      <c r="A25" s="485"/>
      <c r="B25" s="593"/>
      <c r="C25" s="593"/>
      <c r="D25" s="593"/>
      <c r="E25" s="508"/>
      <c r="F25" s="594"/>
      <c r="G25" s="595"/>
      <c r="H25" s="596"/>
      <c r="I25" s="595"/>
      <c r="J25" s="595"/>
      <c r="K25" s="596"/>
      <c r="L25" s="597"/>
      <c r="M25" s="330"/>
      <c r="N25" s="569" t="s">
        <v>46</v>
      </c>
      <c r="O25" s="570"/>
      <c r="P25" s="527" t="str">
        <f ca="1">IFERROR(Operational_Carbon_Annual_Total_Benchmark/Occupancy_Daily_Avg,"")</f>
        <v/>
      </c>
      <c r="Q25" s="528" t="s">
        <v>8</v>
      </c>
      <c r="R25" s="583"/>
      <c r="S25" s="529"/>
      <c r="T25" s="332"/>
    </row>
    <row r="26" spans="1:26" ht="15" customHeight="1" x14ac:dyDescent="0.35">
      <c r="A26" s="485"/>
      <c r="B26" s="1576" t="s">
        <v>39</v>
      </c>
      <c r="C26" s="1577"/>
      <c r="D26" s="1578"/>
      <c r="E26" s="508"/>
      <c r="F26" s="598"/>
      <c r="G26" s="329"/>
      <c r="H26" s="333"/>
      <c r="I26" s="329"/>
      <c r="J26" s="329"/>
      <c r="K26" s="333"/>
      <c r="L26" s="329"/>
      <c r="M26" s="330"/>
      <c r="N26" s="531"/>
      <c r="O26" s="531"/>
      <c r="P26" s="571"/>
      <c r="Q26" s="533"/>
      <c r="R26" s="599"/>
      <c r="S26" s="599"/>
    </row>
    <row r="27" spans="1:26" ht="15" customHeight="1" x14ac:dyDescent="0.35">
      <c r="A27" s="485"/>
      <c r="B27" s="485"/>
      <c r="C27" s="485"/>
      <c r="D27" s="485"/>
      <c r="E27" s="485"/>
      <c r="F27" s="535" t="s">
        <v>1014</v>
      </c>
      <c r="G27" s="600"/>
      <c r="H27" s="601"/>
      <c r="I27" s="574"/>
      <c r="J27" s="574"/>
      <c r="K27" s="601"/>
      <c r="L27" s="602"/>
      <c r="M27" s="330"/>
      <c r="N27" s="535" t="s">
        <v>48</v>
      </c>
      <c r="O27" s="536"/>
      <c r="P27" s="574"/>
      <c r="Q27" s="537"/>
      <c r="R27" s="536"/>
      <c r="S27" s="538"/>
    </row>
    <row r="28" spans="1:26" s="329" customFormat="1" ht="15" customHeight="1" x14ac:dyDescent="0.35">
      <c r="A28" s="603"/>
      <c r="B28" s="604" t="s">
        <v>955</v>
      </c>
      <c r="C28" s="605"/>
      <c r="D28" s="606"/>
      <c r="E28" s="607"/>
      <c r="F28" s="509"/>
      <c r="G28" s="608"/>
      <c r="H28" s="609"/>
      <c r="I28" s="608"/>
      <c r="J28" s="609"/>
      <c r="K28" s="609"/>
      <c r="L28" s="610"/>
      <c r="M28" s="330"/>
      <c r="N28" s="611" t="s">
        <v>51</v>
      </c>
      <c r="O28" s="612"/>
      <c r="P28" s="1480">
        <f>LPD_Benchmark_Calculated</f>
        <v>0</v>
      </c>
      <c r="Q28" s="613" t="s">
        <v>52</v>
      </c>
      <c r="R28" s="614" t="s">
        <v>17</v>
      </c>
      <c r="S28" s="615"/>
      <c r="U28" s="616"/>
    </row>
    <row r="29" spans="1:26" ht="15" customHeight="1" x14ac:dyDescent="0.35">
      <c r="A29" s="485"/>
      <c r="B29" s="617"/>
      <c r="C29" s="618"/>
      <c r="D29" s="619"/>
      <c r="E29" s="508"/>
      <c r="F29" s="519"/>
      <c r="G29" s="620" t="s">
        <v>1046</v>
      </c>
      <c r="H29" s="621" t="s">
        <v>1061</v>
      </c>
      <c r="I29" s="620"/>
      <c r="J29" s="622" t="s">
        <v>1006</v>
      </c>
      <c r="K29" s="622" t="s">
        <v>1007</v>
      </c>
      <c r="L29" s="578"/>
      <c r="M29" s="330"/>
      <c r="N29" s="623" t="s">
        <v>53</v>
      </c>
      <c r="O29" s="624"/>
      <c r="P29" s="305"/>
      <c r="Q29" s="625" t="s">
        <v>52</v>
      </c>
      <c r="R29" s="13"/>
      <c r="S29" s="626"/>
    </row>
    <row r="30" spans="1:26" ht="15" customHeight="1" x14ac:dyDescent="0.35">
      <c r="A30" s="485"/>
      <c r="B30" s="627" t="s">
        <v>956</v>
      </c>
      <c r="C30" s="628"/>
      <c r="D30" s="629" t="s">
        <v>957</v>
      </c>
      <c r="E30" s="508"/>
      <c r="F30" s="519"/>
      <c r="G30" s="530" t="s">
        <v>54</v>
      </c>
      <c r="H30" s="387"/>
      <c r="I30" s="334" t="s">
        <v>687</v>
      </c>
      <c r="J30" s="473"/>
      <c r="K30" s="456" t="str">
        <f t="shared" ref="K30:K37" si="0">IFERROR(J30/Area_Building,"")</f>
        <v/>
      </c>
      <c r="L30" s="578"/>
      <c r="M30" s="330"/>
      <c r="N30" s="630"/>
      <c r="O30" s="630"/>
      <c r="P30" s="631"/>
      <c r="Q30" s="630"/>
      <c r="R30" s="630"/>
      <c r="S30" s="630"/>
      <c r="U30" s="632"/>
      <c r="V30" s="632"/>
      <c r="W30" s="632"/>
      <c r="X30" s="632"/>
      <c r="Y30" s="632"/>
      <c r="Z30" s="632"/>
    </row>
    <row r="31" spans="1:26" ht="15" customHeight="1" x14ac:dyDescent="0.35">
      <c r="A31" s="485"/>
      <c r="B31" s="633" t="s">
        <v>49</v>
      </c>
      <c r="C31" s="333"/>
      <c r="D31" s="634" t="s">
        <v>49</v>
      </c>
      <c r="E31" s="508"/>
      <c r="F31" s="519"/>
      <c r="G31" s="530" t="s">
        <v>55</v>
      </c>
      <c r="H31" s="387"/>
      <c r="I31" s="334" t="s">
        <v>687</v>
      </c>
      <c r="J31" s="455"/>
      <c r="K31" s="456" t="str">
        <f t="shared" si="0"/>
        <v/>
      </c>
      <c r="L31" s="578"/>
      <c r="M31" s="330"/>
      <c r="N31" s="635" t="s">
        <v>990</v>
      </c>
      <c r="O31" s="636"/>
      <c r="P31" s="636"/>
      <c r="Q31" s="636"/>
      <c r="R31" s="636"/>
      <c r="S31" s="637"/>
      <c r="U31" s="632"/>
      <c r="V31" s="632"/>
      <c r="W31" s="632"/>
      <c r="X31" s="632"/>
      <c r="Y31" s="632"/>
      <c r="Z31" s="632"/>
    </row>
    <row r="32" spans="1:26" ht="15" customHeight="1" x14ac:dyDescent="0.35">
      <c r="A32" s="485"/>
      <c r="B32" s="485"/>
      <c r="C32" s="485"/>
      <c r="D32" s="485"/>
      <c r="E32" s="575"/>
      <c r="F32" s="580"/>
      <c r="G32" s="530" t="s">
        <v>56</v>
      </c>
      <c r="H32" s="387"/>
      <c r="I32" s="334" t="s">
        <v>687</v>
      </c>
      <c r="J32" s="455"/>
      <c r="K32" s="456" t="str">
        <f t="shared" si="0"/>
        <v/>
      </c>
      <c r="L32" s="578"/>
      <c r="M32" s="330"/>
      <c r="N32" s="638"/>
      <c r="O32" s="639"/>
      <c r="P32" s="640"/>
      <c r="Q32" s="639"/>
      <c r="R32" s="641"/>
      <c r="S32" s="642"/>
      <c r="U32" s="632"/>
      <c r="V32" s="632"/>
      <c r="W32" s="632"/>
      <c r="X32" s="632"/>
      <c r="Y32" s="632"/>
      <c r="Z32" s="632"/>
    </row>
    <row r="33" spans="1:26" ht="15" customHeight="1" x14ac:dyDescent="0.35">
      <c r="A33" s="485"/>
      <c r="B33" s="485"/>
      <c r="C33" s="485"/>
      <c r="D33" s="485"/>
      <c r="E33" s="575"/>
      <c r="F33" s="580"/>
      <c r="G33" s="530" t="s">
        <v>57</v>
      </c>
      <c r="H33" s="387"/>
      <c r="I33" s="334" t="s">
        <v>687</v>
      </c>
      <c r="J33" s="455"/>
      <c r="K33" s="456" t="str">
        <f t="shared" si="0"/>
        <v/>
      </c>
      <c r="L33" s="578"/>
      <c r="M33" s="330"/>
      <c r="N33" s="643"/>
      <c r="O33" s="644" t="s">
        <v>976</v>
      </c>
      <c r="P33" s="645"/>
      <c r="Q33" s="646"/>
      <c r="R33" s="647"/>
      <c r="S33" s="648"/>
      <c r="T33" s="330"/>
      <c r="U33" s="632"/>
      <c r="V33" s="632"/>
      <c r="W33" s="632"/>
      <c r="X33" s="632"/>
      <c r="Y33" s="632"/>
      <c r="Z33" s="632"/>
    </row>
    <row r="34" spans="1:26" ht="15" customHeight="1" x14ac:dyDescent="0.35">
      <c r="A34" s="485"/>
      <c r="B34" s="1598" t="s">
        <v>1183</v>
      </c>
      <c r="C34" s="1599"/>
      <c r="D34" s="1600"/>
      <c r="E34" s="575"/>
      <c r="F34" s="580"/>
      <c r="G34" s="530" t="s">
        <v>58</v>
      </c>
      <c r="H34" s="387"/>
      <c r="I34" s="334" t="s">
        <v>687</v>
      </c>
      <c r="J34" s="455"/>
      <c r="K34" s="456" t="str">
        <f t="shared" si="0"/>
        <v/>
      </c>
      <c r="L34" s="578"/>
      <c r="M34" s="330"/>
      <c r="N34" s="643"/>
      <c r="O34" s="1589"/>
      <c r="P34" s="1590"/>
      <c r="Q34" s="1590"/>
      <c r="R34" s="1591"/>
      <c r="S34" s="649"/>
      <c r="U34" s="632"/>
      <c r="V34" s="632"/>
      <c r="W34" s="632"/>
      <c r="X34" s="632"/>
      <c r="Y34" s="632"/>
      <c r="Z34" s="632"/>
    </row>
    <row r="35" spans="1:26" ht="15" customHeight="1" x14ac:dyDescent="0.35">
      <c r="A35" s="485"/>
      <c r="B35" s="1601"/>
      <c r="C35" s="1602"/>
      <c r="D35" s="1603"/>
      <c r="E35" s="575"/>
      <c r="F35" s="580"/>
      <c r="G35" s="530" t="s">
        <v>59</v>
      </c>
      <c r="H35" s="387"/>
      <c r="I35" s="334" t="s">
        <v>687</v>
      </c>
      <c r="J35" s="455"/>
      <c r="K35" s="456" t="str">
        <f t="shared" si="0"/>
        <v/>
      </c>
      <c r="L35" s="578"/>
      <c r="M35" s="330"/>
      <c r="N35" s="643"/>
      <c r="O35" s="1592"/>
      <c r="P35" s="1593"/>
      <c r="Q35" s="1593"/>
      <c r="R35" s="1594"/>
      <c r="S35" s="649"/>
      <c r="U35" s="632"/>
      <c r="V35" s="632"/>
      <c r="W35" s="632"/>
      <c r="X35" s="632"/>
      <c r="Y35" s="632"/>
      <c r="Z35" s="632"/>
    </row>
    <row r="36" spans="1:26" ht="15" customHeight="1" x14ac:dyDescent="0.35">
      <c r="A36" s="485"/>
      <c r="B36" s="1601"/>
      <c r="C36" s="1602"/>
      <c r="D36" s="1603"/>
      <c r="E36" s="575"/>
      <c r="F36" s="580"/>
      <c r="G36" s="530" t="s">
        <v>60</v>
      </c>
      <c r="H36" s="387"/>
      <c r="I36" s="334" t="s">
        <v>687</v>
      </c>
      <c r="J36" s="455"/>
      <c r="K36" s="456" t="str">
        <f t="shared" si="0"/>
        <v/>
      </c>
      <c r="L36" s="578"/>
      <c r="M36" s="330"/>
      <c r="N36" s="643"/>
      <c r="O36" s="1595"/>
      <c r="P36" s="1596"/>
      <c r="Q36" s="1596"/>
      <c r="R36" s="1597"/>
      <c r="S36" s="649"/>
      <c r="U36" s="632"/>
      <c r="V36" s="632"/>
      <c r="W36" s="632"/>
      <c r="X36" s="632"/>
      <c r="Y36" s="632"/>
      <c r="Z36" s="632"/>
    </row>
    <row r="37" spans="1:26" ht="15" customHeight="1" x14ac:dyDescent="0.35">
      <c r="A37" s="485"/>
      <c r="B37" s="1601"/>
      <c r="C37" s="1602"/>
      <c r="D37" s="1603"/>
      <c r="E37" s="575"/>
      <c r="F37" s="580"/>
      <c r="G37" s="530" t="s">
        <v>61</v>
      </c>
      <c r="H37" s="387"/>
      <c r="I37" s="334" t="s">
        <v>687</v>
      </c>
      <c r="J37" s="455"/>
      <c r="K37" s="456" t="str">
        <f t="shared" si="0"/>
        <v/>
      </c>
      <c r="L37" s="578"/>
      <c r="M37" s="330"/>
      <c r="N37" s="650"/>
      <c r="O37" s="646"/>
      <c r="P37" s="651"/>
      <c r="Q37" s="652"/>
      <c r="R37" s="653"/>
      <c r="S37" s="654"/>
      <c r="U37" s="632"/>
      <c r="V37" s="632"/>
      <c r="W37" s="632"/>
      <c r="X37" s="632"/>
      <c r="Y37" s="632"/>
      <c r="Z37" s="632"/>
    </row>
    <row r="38" spans="1:26" ht="15" customHeight="1" x14ac:dyDescent="0.35">
      <c r="A38" s="485"/>
      <c r="B38" s="1601"/>
      <c r="C38" s="1602"/>
      <c r="D38" s="1603"/>
      <c r="E38" s="575"/>
      <c r="F38" s="580"/>
      <c r="G38" s="591"/>
      <c r="H38" s="655"/>
      <c r="I38" s="656"/>
      <c r="J38" s="657"/>
      <c r="K38" s="657"/>
      <c r="L38" s="578"/>
      <c r="M38" s="330"/>
      <c r="N38" s="630"/>
      <c r="O38" s="630"/>
      <c r="P38" s="631"/>
      <c r="Q38" s="630"/>
      <c r="R38" s="630"/>
      <c r="S38" s="630"/>
      <c r="U38" s="632"/>
      <c r="V38" s="632"/>
      <c r="W38" s="632"/>
      <c r="X38" s="632"/>
      <c r="Y38" s="632"/>
      <c r="Z38" s="632"/>
    </row>
    <row r="39" spans="1:26" ht="15" customHeight="1" x14ac:dyDescent="0.35">
      <c r="A39" s="485"/>
      <c r="B39" s="1601"/>
      <c r="C39" s="1602"/>
      <c r="D39" s="1603"/>
      <c r="E39" s="575"/>
      <c r="F39" s="580"/>
      <c r="G39" s="530" t="s">
        <v>892</v>
      </c>
      <c r="H39" s="658">
        <f>SUM(J30:J37)</f>
        <v>0</v>
      </c>
      <c r="I39" s="577" t="s">
        <v>991</v>
      </c>
      <c r="J39" s="553"/>
      <c r="K39" s="555"/>
      <c r="L39" s="578"/>
      <c r="M39" s="659"/>
      <c r="N39" s="630"/>
      <c r="O39" s="630"/>
      <c r="P39" s="631"/>
      <c r="Q39" s="630"/>
      <c r="R39" s="630"/>
      <c r="S39" s="630"/>
      <c r="U39" s="632"/>
      <c r="V39" s="632"/>
      <c r="W39" s="632"/>
      <c r="X39" s="632"/>
      <c r="Y39" s="632"/>
      <c r="Z39" s="632"/>
    </row>
    <row r="40" spans="1:26" ht="15" customHeight="1" x14ac:dyDescent="0.35">
      <c r="A40" s="485"/>
      <c r="B40" s="1601"/>
      <c r="C40" s="1602"/>
      <c r="D40" s="1603"/>
      <c r="E40" s="575"/>
      <c r="F40" s="580"/>
      <c r="G40" s="530" t="s">
        <v>1015</v>
      </c>
      <c r="H40" s="467"/>
      <c r="I40" s="577" t="s">
        <v>991</v>
      </c>
      <c r="J40" s="1586" t="s">
        <v>1009</v>
      </c>
      <c r="K40" s="1586"/>
      <c r="L40" s="578"/>
      <c r="M40" s="659"/>
      <c r="N40" s="630"/>
      <c r="O40" s="630"/>
      <c r="P40" s="631"/>
      <c r="Q40" s="630"/>
      <c r="R40" s="630"/>
      <c r="S40" s="630"/>
      <c r="U40" s="632"/>
      <c r="V40" s="632"/>
      <c r="W40" s="632"/>
      <c r="X40" s="632"/>
      <c r="Y40" s="632"/>
      <c r="Z40" s="632"/>
    </row>
    <row r="41" spans="1:26" ht="15" customHeight="1" x14ac:dyDescent="0.35">
      <c r="A41" s="485"/>
      <c r="B41" s="1601"/>
      <c r="C41" s="1602"/>
      <c r="D41" s="1603"/>
      <c r="E41" s="575"/>
      <c r="F41" s="580"/>
      <c r="G41" s="530" t="s">
        <v>1016</v>
      </c>
      <c r="H41" s="467"/>
      <c r="I41" s="577" t="s">
        <v>991</v>
      </c>
      <c r="J41" s="1586"/>
      <c r="K41" s="1586"/>
      <c r="L41" s="578"/>
      <c r="M41" s="330"/>
      <c r="N41" s="329"/>
      <c r="O41" s="329"/>
      <c r="P41" s="329"/>
      <c r="Q41" s="329"/>
      <c r="R41" s="329"/>
      <c r="S41" s="329"/>
      <c r="U41" s="632"/>
      <c r="V41" s="632"/>
      <c r="W41" s="632"/>
      <c r="X41" s="632"/>
      <c r="Y41" s="632"/>
      <c r="Z41" s="632"/>
    </row>
    <row r="42" spans="1:26" ht="15" customHeight="1" x14ac:dyDescent="0.35">
      <c r="A42" s="485"/>
      <c r="B42" s="1601"/>
      <c r="C42" s="1602"/>
      <c r="D42" s="1603"/>
      <c r="E42" s="575"/>
      <c r="F42" s="580"/>
      <c r="G42" s="660" t="s">
        <v>1017</v>
      </c>
      <c r="H42" s="339"/>
      <c r="I42" s="577" t="s">
        <v>991</v>
      </c>
      <c r="J42" s="553"/>
      <c r="K42" s="555"/>
      <c r="L42" s="578"/>
      <c r="M42" s="330"/>
      <c r="N42" s="329"/>
      <c r="O42" s="329"/>
      <c r="P42" s="329"/>
      <c r="Q42" s="329"/>
      <c r="R42" s="329"/>
      <c r="S42" s="329"/>
      <c r="U42" s="632"/>
      <c r="V42" s="632"/>
      <c r="W42" s="632"/>
      <c r="X42" s="632"/>
      <c r="Y42" s="632"/>
      <c r="Z42" s="632"/>
    </row>
    <row r="43" spans="1:26" ht="15" customHeight="1" x14ac:dyDescent="0.35">
      <c r="A43" s="485"/>
      <c r="B43" s="1601"/>
      <c r="C43" s="1602"/>
      <c r="D43" s="1603"/>
      <c r="E43" s="575"/>
      <c r="F43" s="580"/>
      <c r="G43" s="660" t="s">
        <v>1018</v>
      </c>
      <c r="H43" s="468"/>
      <c r="I43" s="577" t="s">
        <v>991</v>
      </c>
      <c r="J43" s="553"/>
      <c r="K43" s="555"/>
      <c r="L43" s="578"/>
      <c r="M43" s="330"/>
      <c r="N43" s="329"/>
      <c r="O43" s="329"/>
      <c r="P43" s="329"/>
      <c r="Q43" s="329"/>
      <c r="R43" s="329"/>
      <c r="S43" s="329"/>
      <c r="U43" s="632"/>
      <c r="V43" s="632"/>
      <c r="W43" s="632"/>
      <c r="X43" s="632"/>
      <c r="Y43" s="632"/>
      <c r="Z43" s="632"/>
    </row>
    <row r="44" spans="1:26" ht="15" customHeight="1" x14ac:dyDescent="0.35">
      <c r="A44" s="485"/>
      <c r="B44" s="1601"/>
      <c r="C44" s="1602"/>
      <c r="D44" s="1603"/>
      <c r="E44" s="575"/>
      <c r="F44" s="580"/>
      <c r="G44" s="530"/>
      <c r="H44" s="661" t="str">
        <f>IFERROR(Area_Building/Area_Site,"")</f>
        <v/>
      </c>
      <c r="I44" s="577" t="s">
        <v>44</v>
      </c>
      <c r="J44" s="591"/>
      <c r="K44" s="523"/>
      <c r="L44" s="578"/>
      <c r="M44" s="662"/>
      <c r="N44" s="663"/>
      <c r="O44" s="663"/>
      <c r="P44" s="664"/>
      <c r="Q44" s="663"/>
      <c r="R44" s="663"/>
      <c r="S44" s="665"/>
    </row>
    <row r="45" spans="1:26" ht="15" customHeight="1" x14ac:dyDescent="0.35">
      <c r="A45" s="485"/>
      <c r="B45" s="1601"/>
      <c r="C45" s="1602"/>
      <c r="D45" s="1603"/>
      <c r="E45" s="575"/>
      <c r="F45" s="666"/>
      <c r="G45" s="667"/>
      <c r="H45" s="668"/>
      <c r="I45" s="667"/>
      <c r="J45" s="667"/>
      <c r="K45" s="668"/>
      <c r="L45" s="669"/>
      <c r="M45" s="670"/>
      <c r="N45" s="663"/>
      <c r="O45" s="663"/>
      <c r="P45" s="664"/>
      <c r="Q45" s="663"/>
      <c r="R45" s="663"/>
      <c r="S45" s="665"/>
    </row>
    <row r="46" spans="1:26" ht="15" customHeight="1" x14ac:dyDescent="0.35">
      <c r="A46" s="485"/>
      <c r="B46" s="1601"/>
      <c r="C46" s="1602"/>
      <c r="D46" s="1603"/>
      <c r="E46" s="485"/>
      <c r="F46" s="498"/>
      <c r="G46" s="498"/>
      <c r="H46" s="671"/>
      <c r="I46" s="498"/>
      <c r="J46" s="498"/>
      <c r="K46" s="671"/>
      <c r="L46" s="498"/>
      <c r="M46" s="670"/>
      <c r="N46" s="663"/>
      <c r="O46" s="663"/>
      <c r="P46" s="664"/>
      <c r="Q46" s="663"/>
      <c r="R46" s="663"/>
      <c r="S46" s="665"/>
    </row>
    <row r="47" spans="1:26" ht="15" customHeight="1" x14ac:dyDescent="0.35">
      <c r="A47" s="485"/>
      <c r="B47" s="1601"/>
      <c r="C47" s="1602"/>
      <c r="D47" s="1603"/>
      <c r="E47" s="485"/>
      <c r="F47" s="535" t="s">
        <v>1010</v>
      </c>
      <c r="G47" s="600"/>
      <c r="H47" s="601"/>
      <c r="I47" s="574"/>
      <c r="J47" s="574"/>
      <c r="K47" s="601"/>
      <c r="L47" s="602"/>
      <c r="M47" s="672"/>
      <c r="N47" s="663"/>
      <c r="O47" s="663"/>
      <c r="P47" s="664"/>
      <c r="Q47" s="663"/>
      <c r="R47" s="663"/>
      <c r="S47" s="665"/>
    </row>
    <row r="48" spans="1:26" ht="15" customHeight="1" x14ac:dyDescent="0.35">
      <c r="A48" s="485"/>
      <c r="B48" s="1601"/>
      <c r="C48" s="1602"/>
      <c r="D48" s="1603"/>
      <c r="E48" s="575"/>
      <c r="F48" s="673"/>
      <c r="G48" s="510"/>
      <c r="H48" s="511"/>
      <c r="I48" s="510"/>
      <c r="J48" s="510"/>
      <c r="K48" s="511"/>
      <c r="L48" s="512"/>
      <c r="M48" s="672"/>
      <c r="N48" s="663"/>
      <c r="O48" s="663"/>
      <c r="P48" s="664"/>
      <c r="Q48" s="663"/>
      <c r="R48" s="663"/>
      <c r="S48" s="665"/>
    </row>
    <row r="49" spans="1:19" ht="15" customHeight="1" x14ac:dyDescent="0.35">
      <c r="A49" s="485"/>
      <c r="B49" s="1601"/>
      <c r="C49" s="1602"/>
      <c r="D49" s="1603"/>
      <c r="E49" s="575"/>
      <c r="F49" s="580"/>
      <c r="G49" s="530" t="s">
        <v>1019</v>
      </c>
      <c r="H49" s="339"/>
      <c r="I49" s="577" t="s">
        <v>26</v>
      </c>
      <c r="J49" s="553"/>
      <c r="K49" s="555"/>
      <c r="L49" s="578"/>
      <c r="M49" s="670"/>
      <c r="N49" s="663"/>
      <c r="O49" s="663"/>
      <c r="P49" s="664"/>
      <c r="Q49" s="663"/>
      <c r="R49" s="663"/>
      <c r="S49" s="665"/>
    </row>
    <row r="50" spans="1:19" ht="15" customHeight="1" x14ac:dyDescent="0.35">
      <c r="A50" s="485"/>
      <c r="B50" s="1601"/>
      <c r="C50" s="1602"/>
      <c r="D50" s="1603"/>
      <c r="E50" s="575"/>
      <c r="F50" s="580"/>
      <c r="G50" s="530" t="s">
        <v>1020</v>
      </c>
      <c r="H50" s="339"/>
      <c r="I50" s="577" t="s">
        <v>26</v>
      </c>
      <c r="J50" s="553"/>
      <c r="K50" s="555"/>
      <c r="L50" s="578"/>
      <c r="M50" s="670"/>
      <c r="N50" s="663"/>
      <c r="O50" s="663"/>
      <c r="P50" s="664"/>
      <c r="Q50" s="663"/>
      <c r="R50" s="663"/>
      <c r="S50" s="665"/>
    </row>
    <row r="51" spans="1:19" ht="15" customHeight="1" x14ac:dyDescent="0.35">
      <c r="A51" s="1"/>
      <c r="B51" s="1601"/>
      <c r="C51" s="1602"/>
      <c r="D51" s="1603"/>
      <c r="E51" s="575"/>
      <c r="F51" s="580"/>
      <c r="G51" s="530"/>
      <c r="H51" s="674" t="str">
        <f>IFERROR(Area_Building/Occupancy_Daily_Avg,"")</f>
        <v/>
      </c>
      <c r="I51" s="577" t="s">
        <v>47</v>
      </c>
      <c r="J51" s="591"/>
      <c r="K51" s="523"/>
      <c r="L51" s="578"/>
      <c r="M51" s="670"/>
      <c r="N51" s="663"/>
      <c r="O51" s="663"/>
      <c r="P51" s="664"/>
      <c r="Q51" s="663"/>
      <c r="R51" s="663"/>
      <c r="S51" s="665"/>
    </row>
    <row r="52" spans="1:19" ht="15" customHeight="1" x14ac:dyDescent="0.35">
      <c r="A52" s="1"/>
      <c r="B52" s="1601"/>
      <c r="C52" s="1602"/>
      <c r="D52" s="1603"/>
      <c r="E52" s="575"/>
      <c r="F52" s="580"/>
      <c r="G52" s="530"/>
      <c r="H52" s="674"/>
      <c r="I52" s="577"/>
      <c r="J52" s="591"/>
      <c r="K52" s="523"/>
      <c r="L52" s="578"/>
      <c r="M52" s="603"/>
      <c r="N52" s="663"/>
      <c r="O52" s="663"/>
      <c r="P52" s="664"/>
      <c r="Q52" s="663"/>
      <c r="R52" s="663"/>
      <c r="S52" s="665"/>
    </row>
    <row r="53" spans="1:19" ht="15" customHeight="1" x14ac:dyDescent="0.35">
      <c r="A53" s="1"/>
      <c r="B53" s="1601"/>
      <c r="C53" s="1602"/>
      <c r="D53" s="1603"/>
      <c r="E53" s="508"/>
      <c r="F53" s="519"/>
      <c r="G53" s="530" t="s">
        <v>1021</v>
      </c>
      <c r="H53" s="339"/>
      <c r="I53" s="577" t="s">
        <v>36</v>
      </c>
      <c r="J53" s="553"/>
      <c r="K53" s="555"/>
      <c r="L53" s="578"/>
      <c r="M53" s="603"/>
      <c r="N53" s="663"/>
      <c r="O53" s="663"/>
      <c r="P53" s="664"/>
      <c r="Q53" s="663"/>
      <c r="R53" s="663"/>
      <c r="S53" s="665"/>
    </row>
    <row r="54" spans="1:19" ht="15" customHeight="1" x14ac:dyDescent="0.35">
      <c r="A54" s="1"/>
      <c r="B54" s="1601"/>
      <c r="C54" s="1602"/>
      <c r="D54" s="1603"/>
      <c r="E54" s="508"/>
      <c r="F54" s="519"/>
      <c r="G54" s="530" t="s">
        <v>1022</v>
      </c>
      <c r="H54" s="339"/>
      <c r="I54" s="577" t="s">
        <v>1023</v>
      </c>
      <c r="J54" s="553"/>
      <c r="K54" s="555"/>
      <c r="L54" s="578"/>
      <c r="M54" s="603"/>
      <c r="N54" s="663"/>
      <c r="O54" s="663"/>
      <c r="P54" s="664"/>
      <c r="Q54" s="663"/>
      <c r="R54" s="663"/>
      <c r="S54" s="665"/>
    </row>
    <row r="55" spans="1:19" ht="15" customHeight="1" x14ac:dyDescent="0.35">
      <c r="A55" s="1"/>
      <c r="B55" s="1601"/>
      <c r="C55" s="1602"/>
      <c r="D55" s="1603"/>
      <c r="E55" s="575"/>
      <c r="F55" s="580"/>
      <c r="G55" s="530"/>
      <c r="H55" s="674">
        <f>Annual_Days_of_Operation*Avg_Daily_Hours_Of_Operation</f>
        <v>0</v>
      </c>
      <c r="I55" s="577" t="s">
        <v>50</v>
      </c>
      <c r="J55" s="591"/>
      <c r="K55" s="523"/>
      <c r="L55" s="578"/>
      <c r="M55" s="675"/>
      <c r="N55" s="663"/>
      <c r="O55" s="663"/>
      <c r="P55" s="664"/>
      <c r="Q55" s="663"/>
      <c r="R55" s="663"/>
      <c r="S55" s="665"/>
    </row>
    <row r="56" spans="1:19" ht="15" customHeight="1" x14ac:dyDescent="0.35">
      <c r="A56" s="1"/>
      <c r="B56" s="1604"/>
      <c r="C56" s="1605"/>
      <c r="D56" s="1606"/>
      <c r="E56" s="575"/>
      <c r="F56" s="666"/>
      <c r="G56" s="676"/>
      <c r="H56" s="677"/>
      <c r="I56" s="676"/>
      <c r="J56" s="676"/>
      <c r="K56" s="677"/>
      <c r="L56" s="678"/>
      <c r="M56" s="603"/>
      <c r="N56" s="679"/>
      <c r="O56" s="663"/>
      <c r="P56" s="664"/>
      <c r="Q56" s="663"/>
      <c r="R56" s="663"/>
      <c r="S56" s="665"/>
    </row>
    <row r="57" spans="1:19" ht="15" customHeight="1" x14ac:dyDescent="0.35">
      <c r="A57" s="1"/>
      <c r="B57" s="485"/>
      <c r="C57" s="485"/>
      <c r="D57" s="485"/>
      <c r="E57" s="485"/>
      <c r="F57" s="488"/>
      <c r="G57" s="329"/>
      <c r="H57" s="333"/>
      <c r="I57" s="329"/>
      <c r="J57" s="329"/>
      <c r="K57" s="333"/>
      <c r="L57" s="329"/>
      <c r="M57" s="603"/>
      <c r="N57" s="663"/>
      <c r="O57" s="663"/>
      <c r="P57" s="664"/>
      <c r="Q57" s="663"/>
      <c r="R57" s="663"/>
      <c r="S57" s="665"/>
    </row>
    <row r="58" spans="1:19" ht="15" customHeight="1" x14ac:dyDescent="0.35">
      <c r="A58" s="1"/>
      <c r="B58" s="485"/>
      <c r="C58" s="485"/>
      <c r="D58" s="485"/>
      <c r="E58" s="485"/>
      <c r="F58" s="535" t="s">
        <v>1008</v>
      </c>
      <c r="G58" s="600"/>
      <c r="H58" s="601"/>
      <c r="I58" s="574"/>
      <c r="J58" s="574"/>
      <c r="K58" s="601"/>
      <c r="L58" s="602"/>
      <c r="M58" s="675"/>
      <c r="N58" s="663"/>
      <c r="O58" s="663"/>
      <c r="P58" s="664"/>
      <c r="Q58" s="663"/>
      <c r="R58" s="663"/>
      <c r="S58" s="665"/>
    </row>
    <row r="59" spans="1:19" ht="15" customHeight="1" x14ac:dyDescent="0.35">
      <c r="A59" s="1"/>
      <c r="B59" s="485"/>
      <c r="C59" s="485"/>
      <c r="D59" s="485"/>
      <c r="E59" s="575"/>
      <c r="F59" s="673"/>
      <c r="G59" s="510"/>
      <c r="H59" s="511"/>
      <c r="I59" s="510"/>
      <c r="J59" s="510"/>
      <c r="K59" s="511"/>
      <c r="L59" s="512"/>
      <c r="M59" s="680"/>
      <c r="N59" s="663"/>
      <c r="O59" s="663"/>
      <c r="P59" s="664"/>
      <c r="Q59" s="663"/>
      <c r="R59" s="663"/>
      <c r="S59" s="665"/>
    </row>
    <row r="60" spans="1:19" ht="15" customHeight="1" x14ac:dyDescent="0.35">
      <c r="A60" s="1"/>
      <c r="B60" s="485"/>
      <c r="C60" s="485"/>
      <c r="D60" s="485"/>
      <c r="E60" s="575"/>
      <c r="F60" s="580"/>
      <c r="G60" s="530" t="s">
        <v>65</v>
      </c>
      <c r="H60" s="388"/>
      <c r="I60" s="331" t="s">
        <v>687</v>
      </c>
      <c r="J60" s="522"/>
      <c r="K60" s="523"/>
      <c r="L60" s="524"/>
      <c r="M60" s="603"/>
      <c r="N60" s="663"/>
      <c r="O60" s="663"/>
      <c r="P60" s="664"/>
      <c r="Q60" s="663"/>
      <c r="R60" s="663"/>
      <c r="S60" s="665"/>
    </row>
    <row r="61" spans="1:19" ht="15" customHeight="1" x14ac:dyDescent="0.35">
      <c r="A61" s="1"/>
      <c r="B61" s="485"/>
      <c r="C61" s="485"/>
      <c r="D61" s="485"/>
      <c r="E61" s="575"/>
      <c r="F61" s="580"/>
      <c r="G61" s="530" t="s">
        <v>66</v>
      </c>
      <c r="H61" s="388"/>
      <c r="I61" s="331" t="s">
        <v>687</v>
      </c>
      <c r="J61" s="522"/>
      <c r="K61" s="523"/>
      <c r="L61" s="524"/>
      <c r="M61" s="603"/>
      <c r="N61" s="663"/>
      <c r="O61" s="663"/>
      <c r="P61" s="664"/>
      <c r="Q61" s="663"/>
      <c r="R61" s="663"/>
      <c r="S61" s="665"/>
    </row>
    <row r="62" spans="1:19" ht="15" customHeight="1" x14ac:dyDescent="0.35">
      <c r="A62" s="1"/>
      <c r="B62" s="485"/>
      <c r="C62" s="485"/>
      <c r="D62" s="485"/>
      <c r="E62" s="575"/>
      <c r="F62" s="580"/>
      <c r="G62" s="530" t="s">
        <v>67</v>
      </c>
      <c r="H62" s="388"/>
      <c r="I62" s="331" t="s">
        <v>687</v>
      </c>
      <c r="J62" s="522"/>
      <c r="K62" s="523"/>
      <c r="L62" s="524"/>
      <c r="M62" s="603"/>
      <c r="N62" s="663"/>
      <c r="O62" s="663"/>
      <c r="P62" s="664"/>
      <c r="Q62" s="663"/>
      <c r="R62" s="663"/>
      <c r="S62" s="665"/>
    </row>
    <row r="63" spans="1:19" ht="15" customHeight="1" x14ac:dyDescent="0.35">
      <c r="A63" s="1"/>
      <c r="B63" s="485"/>
      <c r="C63" s="485"/>
      <c r="D63" s="485"/>
      <c r="E63" s="575"/>
      <c r="F63" s="580"/>
      <c r="G63" s="530" t="s">
        <v>68</v>
      </c>
      <c r="H63" s="388"/>
      <c r="I63" s="331" t="s">
        <v>687</v>
      </c>
      <c r="J63" s="522"/>
      <c r="K63" s="523"/>
      <c r="L63" s="524"/>
      <c r="M63" s="603"/>
      <c r="N63" s="663"/>
      <c r="O63" s="663"/>
      <c r="P63" s="664"/>
      <c r="Q63" s="663"/>
      <c r="R63" s="663"/>
      <c r="S63" s="665"/>
    </row>
    <row r="64" spans="1:19" ht="15" customHeight="1" x14ac:dyDescent="0.35">
      <c r="A64" s="1"/>
      <c r="B64" s="485"/>
      <c r="C64" s="485"/>
      <c r="D64" s="485"/>
      <c r="E64" s="575"/>
      <c r="F64" s="580"/>
      <c r="G64" s="530" t="s">
        <v>69</v>
      </c>
      <c r="H64" s="388"/>
      <c r="I64" s="331" t="s">
        <v>687</v>
      </c>
      <c r="J64" s="522"/>
      <c r="K64" s="523"/>
      <c r="L64" s="524"/>
      <c r="M64" s="603"/>
      <c r="N64" s="663"/>
      <c r="O64" s="663"/>
      <c r="P64" s="664"/>
      <c r="Q64" s="663"/>
      <c r="R64" s="663"/>
      <c r="S64" s="665"/>
    </row>
    <row r="65" spans="1:19" ht="15" customHeight="1" x14ac:dyDescent="0.35">
      <c r="A65" s="1"/>
      <c r="B65" s="485"/>
      <c r="C65" s="485"/>
      <c r="D65" s="485"/>
      <c r="E65" s="575"/>
      <c r="F65" s="580"/>
      <c r="G65" s="530" t="s">
        <v>70</v>
      </c>
      <c r="H65" s="388"/>
      <c r="I65" s="331" t="s">
        <v>687</v>
      </c>
      <c r="J65" s="522"/>
      <c r="K65" s="523"/>
      <c r="L65" s="524"/>
      <c r="M65" s="603"/>
      <c r="N65" s="663"/>
      <c r="O65" s="663"/>
      <c r="P65" s="664"/>
      <c r="Q65" s="663"/>
      <c r="R65" s="663"/>
      <c r="S65" s="665"/>
    </row>
    <row r="66" spans="1:19" ht="15" customHeight="1" x14ac:dyDescent="0.35">
      <c r="A66" s="1"/>
      <c r="B66" s="485"/>
      <c r="C66" s="485"/>
      <c r="D66" s="485"/>
      <c r="E66" s="681"/>
      <c r="F66" s="682"/>
      <c r="G66" s="683"/>
      <c r="H66" s="677"/>
      <c r="I66" s="683"/>
      <c r="J66" s="683"/>
      <c r="K66" s="677"/>
      <c r="L66" s="684"/>
      <c r="M66" s="408"/>
      <c r="N66" s="679"/>
      <c r="O66" s="663"/>
      <c r="P66" s="664"/>
      <c r="Q66" s="663"/>
      <c r="R66" s="663"/>
      <c r="S66" s="665"/>
    </row>
    <row r="67" spans="1:19" ht="15" customHeight="1" x14ac:dyDescent="0.35">
      <c r="A67" s="1"/>
      <c r="B67" s="485"/>
      <c r="C67" s="485"/>
      <c r="D67" s="485"/>
      <c r="E67" s="408"/>
      <c r="F67" s="472"/>
      <c r="G67" s="329"/>
      <c r="H67" s="333"/>
      <c r="I67" s="329"/>
      <c r="J67" s="329"/>
      <c r="K67" s="333"/>
      <c r="L67" s="329"/>
      <c r="M67" s="408"/>
      <c r="N67" s="679"/>
      <c r="O67" s="663"/>
      <c r="P67" s="664"/>
      <c r="Q67" s="663"/>
      <c r="R67" s="663"/>
      <c r="S67" s="665"/>
    </row>
    <row r="68" spans="1:19" ht="15" customHeight="1" x14ac:dyDescent="0.35">
      <c r="A68" s="1"/>
      <c r="B68" s="485"/>
      <c r="C68" s="485"/>
      <c r="D68" s="485"/>
      <c r="E68" s="408"/>
      <c r="F68" s="472"/>
      <c r="G68" s="329"/>
      <c r="H68" s="333"/>
      <c r="I68" s="329"/>
      <c r="J68" s="329"/>
      <c r="K68" s="333"/>
      <c r="L68" s="329"/>
      <c r="M68" s="408"/>
      <c r="N68" s="679"/>
      <c r="O68" s="663"/>
      <c r="P68" s="664"/>
      <c r="Q68" s="663"/>
      <c r="R68" s="663"/>
      <c r="S68" s="665"/>
    </row>
    <row r="69" spans="1:19" ht="15" customHeight="1" x14ac:dyDescent="0.35">
      <c r="A69" s="1"/>
      <c r="B69" s="485"/>
      <c r="C69" s="485"/>
      <c r="D69" s="485"/>
      <c r="E69" s="408"/>
      <c r="F69" s="472"/>
      <c r="G69" s="329"/>
      <c r="H69" s="333"/>
      <c r="I69" s="329"/>
      <c r="J69" s="329"/>
      <c r="K69" s="333"/>
      <c r="L69" s="329"/>
      <c r="M69" s="408"/>
      <c r="N69" s="679"/>
      <c r="O69" s="663"/>
      <c r="P69" s="664"/>
      <c r="Q69" s="663"/>
      <c r="R69" s="663"/>
      <c r="S69" s="665"/>
    </row>
    <row r="70" spans="1:19" ht="15" customHeight="1" x14ac:dyDescent="0.35">
      <c r="A70" s="1"/>
      <c r="B70" s="485"/>
      <c r="C70" s="485"/>
      <c r="D70" s="485"/>
      <c r="E70" s="408"/>
      <c r="F70" s="472"/>
      <c r="G70" s="329"/>
      <c r="H70" s="333"/>
      <c r="I70" s="329"/>
      <c r="J70" s="329"/>
      <c r="K70" s="333"/>
      <c r="L70" s="329"/>
      <c r="M70" s="408"/>
      <c r="N70" s="679"/>
      <c r="O70" s="663"/>
      <c r="P70" s="664"/>
      <c r="Q70" s="663"/>
      <c r="R70" s="663"/>
      <c r="S70" s="665"/>
    </row>
    <row r="71" spans="1:19" ht="15" customHeight="1" x14ac:dyDescent="0.35">
      <c r="A71" s="1"/>
      <c r="B71" s="485"/>
      <c r="C71" s="485"/>
      <c r="D71" s="485"/>
      <c r="E71" s="408"/>
      <c r="F71" s="472"/>
      <c r="G71" s="329"/>
      <c r="H71" s="333"/>
      <c r="I71" s="329"/>
      <c r="J71" s="329"/>
      <c r="K71" s="333"/>
      <c r="L71" s="329"/>
      <c r="M71" s="408"/>
      <c r="N71" s="679"/>
      <c r="O71" s="663"/>
      <c r="P71" s="664"/>
      <c r="Q71" s="663"/>
      <c r="R71" s="663"/>
      <c r="S71" s="665"/>
    </row>
    <row r="72" spans="1:19" ht="15" customHeight="1" x14ac:dyDescent="0.35">
      <c r="A72" s="1"/>
      <c r="B72" s="485"/>
      <c r="C72" s="485"/>
      <c r="D72" s="485"/>
      <c r="E72" s="408"/>
      <c r="F72" s="472"/>
      <c r="G72" s="329"/>
      <c r="H72" s="333"/>
      <c r="I72" s="329"/>
      <c r="J72" s="329"/>
      <c r="K72" s="333"/>
      <c r="L72" s="329"/>
      <c r="M72" s="408"/>
      <c r="N72" s="679"/>
      <c r="O72" s="663"/>
      <c r="P72" s="664"/>
      <c r="Q72" s="663"/>
      <c r="R72" s="663"/>
      <c r="S72" s="665"/>
    </row>
    <row r="73" spans="1:19" ht="15" customHeight="1" x14ac:dyDescent="0.35">
      <c r="A73" s="1"/>
      <c r="B73" s="485"/>
      <c r="C73" s="485"/>
      <c r="D73" s="485"/>
      <c r="E73" s="408"/>
      <c r="F73" s="472"/>
      <c r="G73" s="329"/>
      <c r="H73" s="333"/>
      <c r="I73" s="329"/>
      <c r="J73" s="329"/>
      <c r="K73" s="333"/>
      <c r="L73" s="329"/>
      <c r="M73" s="408"/>
      <c r="N73" s="679"/>
      <c r="O73" s="663"/>
      <c r="P73" s="664"/>
      <c r="Q73" s="663"/>
      <c r="R73" s="663"/>
      <c r="S73" s="665"/>
    </row>
    <row r="74" spans="1:19" ht="15" customHeight="1" x14ac:dyDescent="0.35">
      <c r="A74" s="1"/>
      <c r="B74" s="485"/>
      <c r="C74" s="485"/>
      <c r="D74" s="485"/>
      <c r="E74" s="408"/>
      <c r="F74" s="472"/>
      <c r="G74" s="329"/>
      <c r="H74" s="333"/>
      <c r="I74" s="329"/>
      <c r="J74" s="329"/>
      <c r="K74" s="333"/>
      <c r="L74" s="329"/>
      <c r="M74" s="408"/>
      <c r="N74" s="679"/>
      <c r="O74" s="663"/>
      <c r="P74" s="664"/>
      <c r="Q74" s="663"/>
      <c r="R74" s="663"/>
      <c r="S74" s="665"/>
    </row>
    <row r="75" spans="1:19" ht="15" customHeight="1" x14ac:dyDescent="0.35">
      <c r="A75" s="1"/>
      <c r="B75" s="485"/>
      <c r="C75" s="485"/>
      <c r="D75" s="485"/>
      <c r="E75" s="485"/>
      <c r="F75" s="488"/>
      <c r="G75" s="329"/>
      <c r="H75" s="333"/>
      <c r="I75" s="329"/>
      <c r="J75" s="329"/>
      <c r="K75" s="333"/>
      <c r="L75" s="329"/>
      <c r="M75" s="603"/>
      <c r="N75" s="663"/>
      <c r="O75" s="663"/>
      <c r="P75" s="664"/>
      <c r="Q75" s="663"/>
      <c r="R75" s="663"/>
      <c r="S75" s="665"/>
    </row>
    <row r="76" spans="1:19" ht="15" customHeight="1" x14ac:dyDescent="0.35">
      <c r="A76" s="1"/>
      <c r="B76" s="485"/>
      <c r="C76" s="485"/>
      <c r="D76" s="485"/>
      <c r="E76" s="485"/>
      <c r="F76" s="488"/>
      <c r="G76" s="329"/>
      <c r="H76" s="333"/>
      <c r="I76" s="329"/>
      <c r="J76" s="329"/>
      <c r="K76" s="333"/>
      <c r="L76" s="329"/>
      <c r="M76" s="603"/>
      <c r="N76" s="663"/>
      <c r="O76" s="663"/>
      <c r="P76" s="664"/>
      <c r="Q76" s="663"/>
      <c r="R76" s="663"/>
      <c r="S76" s="665"/>
    </row>
    <row r="77" spans="1:19" ht="15" customHeight="1" x14ac:dyDescent="0.35">
      <c r="A77" s="1"/>
      <c r="B77" s="485"/>
      <c r="C77" s="485"/>
      <c r="D77" s="485"/>
      <c r="E77" s="485"/>
      <c r="F77" s="488"/>
      <c r="G77" s="329"/>
      <c r="H77" s="333"/>
      <c r="I77" s="329"/>
      <c r="J77" s="329"/>
      <c r="K77" s="333"/>
      <c r="L77" s="329"/>
      <c r="M77" s="603"/>
      <c r="N77" s="663"/>
      <c r="O77" s="663"/>
      <c r="P77" s="664"/>
      <c r="Q77" s="663"/>
      <c r="R77" s="663"/>
      <c r="S77" s="665"/>
    </row>
    <row r="78" spans="1:19" ht="15" customHeight="1" x14ac:dyDescent="0.35">
      <c r="A78" s="1"/>
      <c r="B78" s="485"/>
      <c r="C78" s="485"/>
      <c r="D78" s="485"/>
      <c r="E78" s="485"/>
      <c r="F78" s="488"/>
      <c r="G78" s="329"/>
      <c r="H78" s="333"/>
      <c r="I78" s="329"/>
      <c r="J78" s="329"/>
      <c r="K78" s="333"/>
      <c r="L78" s="329"/>
      <c r="M78" s="603"/>
      <c r="N78" s="663"/>
      <c r="O78" s="663"/>
      <c r="P78" s="664"/>
      <c r="Q78" s="663"/>
      <c r="R78" s="663"/>
      <c r="S78" s="665"/>
    </row>
    <row r="79" spans="1:19" ht="15" customHeight="1" x14ac:dyDescent="0.35">
      <c r="A79" s="1"/>
      <c r="B79" s="485"/>
      <c r="C79" s="485"/>
      <c r="D79" s="485"/>
      <c r="E79" s="485"/>
      <c r="F79" s="488"/>
      <c r="G79" s="329"/>
      <c r="H79" s="333"/>
      <c r="I79" s="329"/>
      <c r="J79" s="329"/>
      <c r="K79" s="333"/>
      <c r="L79" s="329"/>
      <c r="M79" s="603"/>
      <c r="N79" s="663"/>
      <c r="O79" s="663"/>
      <c r="P79" s="664"/>
      <c r="Q79" s="663"/>
      <c r="R79" s="663"/>
      <c r="S79" s="665"/>
    </row>
    <row r="80" spans="1:19" ht="15" customHeight="1" x14ac:dyDescent="0.35">
      <c r="A80" s="1"/>
      <c r="B80" s="485"/>
      <c r="C80" s="485"/>
      <c r="D80" s="485"/>
      <c r="E80" s="485"/>
      <c r="F80" s="488"/>
      <c r="G80" s="329"/>
      <c r="H80" s="333"/>
      <c r="I80" s="329"/>
      <c r="J80" s="329"/>
      <c r="K80" s="333"/>
      <c r="L80" s="329"/>
      <c r="M80" s="603"/>
      <c r="N80" s="663"/>
      <c r="O80" s="663"/>
      <c r="P80" s="664"/>
      <c r="Q80" s="663"/>
      <c r="R80" s="663"/>
      <c r="S80" s="665"/>
    </row>
    <row r="81" spans="1:19" ht="15" customHeight="1" x14ac:dyDescent="0.35">
      <c r="A81" s="1"/>
      <c r="B81" s="485"/>
      <c r="C81" s="485"/>
      <c r="D81" s="485"/>
      <c r="E81" s="485"/>
      <c r="F81" s="485"/>
      <c r="G81" s="603"/>
      <c r="H81" s="685"/>
      <c r="I81" s="603"/>
      <c r="J81" s="603"/>
      <c r="K81" s="685"/>
      <c r="L81" s="603"/>
      <c r="M81" s="603"/>
      <c r="N81" s="663"/>
      <c r="O81" s="663"/>
      <c r="P81" s="664"/>
      <c r="Q81" s="663"/>
      <c r="R81" s="663"/>
      <c r="S81" s="665"/>
    </row>
    <row r="82" spans="1:19" ht="15" customHeight="1" x14ac:dyDescent="0.35">
      <c r="A82" s="1"/>
      <c r="B82" s="485"/>
      <c r="C82" s="485"/>
      <c r="D82" s="485"/>
      <c r="E82" s="485"/>
      <c r="F82" s="485"/>
      <c r="G82" s="603"/>
      <c r="H82" s="685"/>
      <c r="I82" s="603"/>
      <c r="J82" s="603"/>
      <c r="K82" s="685"/>
      <c r="L82" s="603"/>
      <c r="M82" s="603"/>
      <c r="N82" s="663"/>
      <c r="O82" s="663"/>
      <c r="P82" s="664"/>
      <c r="Q82" s="663"/>
      <c r="R82" s="663"/>
      <c r="S82" s="665"/>
    </row>
    <row r="83" spans="1:19" ht="15" customHeight="1" x14ac:dyDescent="0.35">
      <c r="A83" s="1"/>
      <c r="B83" s="485"/>
      <c r="C83" s="485"/>
      <c r="D83" s="485"/>
      <c r="E83" s="485"/>
      <c r="F83" s="485"/>
      <c r="G83" s="603"/>
      <c r="H83" s="685"/>
      <c r="I83" s="603"/>
      <c r="J83" s="603"/>
      <c r="K83" s="685"/>
      <c r="L83" s="603"/>
      <c r="M83" s="603"/>
      <c r="N83" s="663"/>
      <c r="O83" s="663"/>
      <c r="P83" s="664"/>
      <c r="Q83" s="663"/>
      <c r="R83" s="663"/>
      <c r="S83" s="665"/>
    </row>
    <row r="84" spans="1:19" ht="15" customHeight="1" x14ac:dyDescent="0.35">
      <c r="A84" s="1"/>
      <c r="B84" s="485"/>
      <c r="C84" s="485"/>
      <c r="D84" s="485"/>
      <c r="E84" s="485"/>
      <c r="F84" s="485"/>
      <c r="G84" s="485"/>
      <c r="H84" s="486"/>
      <c r="I84" s="485"/>
      <c r="J84" s="485"/>
      <c r="K84" s="486"/>
      <c r="L84" s="485"/>
      <c r="M84" s="603"/>
      <c r="N84" s="663"/>
      <c r="O84" s="663"/>
      <c r="P84" s="664"/>
      <c r="Q84" s="663"/>
      <c r="R84" s="663"/>
      <c r="S84" s="665"/>
    </row>
    <row r="85" spans="1:19" ht="15" customHeight="1" x14ac:dyDescent="0.35">
      <c r="A85" s="1"/>
      <c r="B85" s="485"/>
      <c r="C85" s="485"/>
      <c r="D85" s="485"/>
      <c r="E85" s="485"/>
      <c r="F85" s="485"/>
      <c r="G85" s="485"/>
      <c r="H85" s="486"/>
      <c r="I85" s="485"/>
      <c r="J85" s="485"/>
      <c r="K85" s="486"/>
      <c r="L85" s="485"/>
      <c r="M85" s="603"/>
      <c r="N85" s="663"/>
      <c r="O85" s="663"/>
      <c r="P85" s="664"/>
      <c r="Q85" s="663"/>
      <c r="R85" s="663"/>
      <c r="S85" s="665"/>
    </row>
    <row r="86" spans="1:19" ht="15" customHeight="1" x14ac:dyDescent="0.35">
      <c r="A86" s="1"/>
      <c r="B86" s="485"/>
      <c r="C86" s="485"/>
      <c r="D86" s="485"/>
      <c r="E86" s="485"/>
      <c r="F86" s="485"/>
      <c r="G86" s="485"/>
      <c r="H86" s="486"/>
      <c r="I86" s="485"/>
      <c r="J86" s="485"/>
      <c r="K86" s="486"/>
      <c r="L86" s="485"/>
      <c r="M86" s="603"/>
      <c r="N86" s="663"/>
      <c r="O86" s="663"/>
      <c r="P86" s="664"/>
      <c r="Q86" s="663"/>
      <c r="R86" s="663"/>
      <c r="S86" s="665"/>
    </row>
    <row r="87" spans="1:19" ht="15" customHeight="1" x14ac:dyDescent="0.35">
      <c r="A87" s="1"/>
      <c r="B87" s="485"/>
      <c r="C87" s="485"/>
      <c r="D87" s="485"/>
      <c r="E87" s="485"/>
      <c r="F87" s="485"/>
      <c r="G87" s="485"/>
      <c r="H87" s="486"/>
      <c r="I87" s="485"/>
      <c r="J87" s="485"/>
      <c r="K87" s="486"/>
      <c r="L87" s="485"/>
      <c r="M87" s="603"/>
      <c r="N87" s="663"/>
      <c r="O87" s="663"/>
      <c r="P87" s="664"/>
      <c r="Q87" s="663"/>
      <c r="R87" s="663"/>
      <c r="S87" s="665"/>
    </row>
    <row r="88" spans="1:19" ht="15" customHeight="1" x14ac:dyDescent="0.35">
      <c r="A88" s="1"/>
      <c r="B88" s="485"/>
      <c r="C88" s="485"/>
      <c r="D88" s="485"/>
      <c r="E88" s="485"/>
      <c r="F88" s="485"/>
      <c r="G88" s="485"/>
      <c r="H88" s="486"/>
      <c r="I88" s="485"/>
      <c r="J88" s="485"/>
      <c r="K88" s="486"/>
      <c r="L88" s="485"/>
      <c r="M88" s="603"/>
      <c r="N88" s="663"/>
      <c r="O88" s="663"/>
      <c r="P88" s="664"/>
      <c r="Q88" s="663"/>
      <c r="R88" s="663"/>
      <c r="S88" s="665"/>
    </row>
    <row r="89" spans="1:19" ht="15" customHeight="1" x14ac:dyDescent="0.35">
      <c r="A89" s="1"/>
      <c r="B89" s="485"/>
      <c r="C89" s="485"/>
      <c r="D89" s="485"/>
      <c r="E89" s="485"/>
      <c r="F89" s="485"/>
      <c r="G89" s="485"/>
      <c r="H89" s="486"/>
      <c r="I89" s="485"/>
      <c r="J89" s="485"/>
      <c r="K89" s="486"/>
      <c r="L89" s="485"/>
      <c r="M89" s="603"/>
      <c r="N89" s="663"/>
      <c r="O89" s="663"/>
      <c r="P89" s="664"/>
      <c r="Q89" s="663"/>
      <c r="R89" s="663"/>
      <c r="S89" s="665"/>
    </row>
    <row r="90" spans="1:19" ht="15" customHeight="1" x14ac:dyDescent="0.35">
      <c r="A90" s="1"/>
      <c r="B90" s="485"/>
      <c r="C90" s="485"/>
      <c r="D90" s="485"/>
      <c r="E90" s="485"/>
      <c r="F90" s="485"/>
      <c r="G90" s="485"/>
      <c r="H90" s="486"/>
      <c r="I90" s="485"/>
      <c r="J90" s="485"/>
      <c r="K90" s="486"/>
      <c r="L90" s="485"/>
      <c r="M90" s="603"/>
      <c r="N90" s="663"/>
      <c r="O90" s="663"/>
      <c r="P90" s="664"/>
      <c r="Q90" s="663"/>
      <c r="R90" s="663"/>
      <c r="S90" s="665"/>
    </row>
    <row r="91" spans="1:19" ht="15" customHeight="1" x14ac:dyDescent="0.35">
      <c r="A91" s="1"/>
      <c r="B91" s="485"/>
      <c r="C91" s="485"/>
      <c r="D91" s="485"/>
      <c r="E91" s="485"/>
      <c r="F91" s="485"/>
      <c r="G91" s="485"/>
      <c r="H91" s="486"/>
      <c r="I91" s="485"/>
      <c r="J91" s="485"/>
      <c r="K91" s="486"/>
      <c r="L91" s="485"/>
      <c r="M91" s="603"/>
      <c r="N91" s="663"/>
      <c r="O91" s="663"/>
      <c r="P91" s="664"/>
      <c r="Q91" s="663"/>
      <c r="R91" s="663"/>
      <c r="S91" s="665"/>
    </row>
    <row r="92" spans="1:19" ht="15" customHeight="1" x14ac:dyDescent="0.35">
      <c r="A92" s="1"/>
      <c r="B92" s="485"/>
      <c r="C92" s="485"/>
      <c r="D92" s="485"/>
      <c r="E92" s="485"/>
      <c r="F92" s="485"/>
      <c r="G92" s="485"/>
      <c r="H92" s="486"/>
      <c r="I92" s="485"/>
      <c r="J92" s="485"/>
      <c r="K92" s="486"/>
      <c r="L92" s="485"/>
      <c r="M92" s="603"/>
      <c r="N92" s="663"/>
      <c r="O92" s="663"/>
      <c r="P92" s="664"/>
      <c r="Q92" s="663"/>
      <c r="R92" s="663"/>
      <c r="S92" s="665"/>
    </row>
    <row r="93" spans="1:19" ht="15" customHeight="1" x14ac:dyDescent="0.35">
      <c r="A93" s="1"/>
      <c r="B93" s="485"/>
      <c r="C93" s="485"/>
      <c r="D93" s="485"/>
      <c r="E93" s="485"/>
      <c r="F93" s="485"/>
      <c r="G93" s="485"/>
      <c r="H93" s="486"/>
      <c r="I93" s="485"/>
      <c r="J93" s="485"/>
      <c r="K93" s="486"/>
      <c r="L93" s="485"/>
      <c r="M93" s="603"/>
      <c r="N93" s="663"/>
      <c r="O93" s="663"/>
      <c r="P93" s="664"/>
      <c r="Q93" s="663"/>
      <c r="R93" s="663"/>
      <c r="S93" s="665"/>
    </row>
    <row r="94" spans="1:19" ht="15" customHeight="1" x14ac:dyDescent="0.35">
      <c r="A94" s="1"/>
      <c r="B94" s="485"/>
      <c r="C94" s="485"/>
      <c r="D94" s="485"/>
      <c r="E94" s="485"/>
      <c r="F94" s="485"/>
      <c r="G94" s="485"/>
      <c r="H94" s="486"/>
      <c r="I94" s="485"/>
      <c r="J94" s="485"/>
      <c r="K94" s="486"/>
      <c r="L94" s="485"/>
      <c r="M94" s="603"/>
      <c r="N94" s="663"/>
      <c r="O94" s="663"/>
      <c r="P94" s="664"/>
      <c r="Q94" s="663"/>
      <c r="R94" s="663"/>
      <c r="S94" s="665"/>
    </row>
    <row r="95" spans="1:19" ht="15" customHeight="1" x14ac:dyDescent="0.35">
      <c r="A95" s="1"/>
      <c r="B95" s="485"/>
      <c r="C95" s="485"/>
      <c r="D95" s="485"/>
      <c r="E95" s="485"/>
      <c r="F95" s="485"/>
      <c r="G95" s="485"/>
      <c r="H95" s="486"/>
      <c r="I95" s="485"/>
      <c r="J95" s="485"/>
      <c r="K95" s="486"/>
      <c r="L95" s="485"/>
      <c r="M95" s="603"/>
      <c r="N95" s="663"/>
      <c r="O95" s="663"/>
      <c r="P95" s="664"/>
      <c r="Q95" s="663"/>
      <c r="R95" s="663"/>
      <c r="S95" s="665"/>
    </row>
    <row r="96" spans="1:19" ht="15" customHeight="1" x14ac:dyDescent="0.35">
      <c r="A96" s="1"/>
      <c r="B96" s="485"/>
      <c r="C96" s="485"/>
      <c r="D96" s="485"/>
      <c r="E96" s="485"/>
      <c r="F96" s="485"/>
      <c r="G96" s="485"/>
      <c r="H96" s="486"/>
      <c r="I96" s="485"/>
      <c r="J96" s="485"/>
      <c r="K96" s="486"/>
      <c r="L96" s="485"/>
      <c r="M96" s="603"/>
      <c r="N96" s="663"/>
      <c r="O96" s="663"/>
      <c r="P96" s="664"/>
      <c r="Q96" s="663"/>
      <c r="R96" s="663"/>
      <c r="S96" s="665"/>
    </row>
    <row r="97" spans="1:19" ht="15" customHeight="1" x14ac:dyDescent="0.35">
      <c r="A97" s="1"/>
      <c r="B97" s="485"/>
      <c r="C97" s="485"/>
      <c r="D97" s="485"/>
      <c r="E97" s="485"/>
      <c r="F97" s="485"/>
      <c r="G97" s="485"/>
      <c r="H97" s="486"/>
      <c r="I97" s="485"/>
      <c r="J97" s="485"/>
      <c r="K97" s="486"/>
      <c r="L97" s="485"/>
      <c r="M97" s="603"/>
      <c r="N97" s="663"/>
      <c r="O97" s="663"/>
      <c r="P97" s="664"/>
      <c r="Q97" s="663"/>
      <c r="R97" s="663"/>
      <c r="S97" s="665"/>
    </row>
    <row r="98" spans="1:19" ht="15" customHeight="1" x14ac:dyDescent="0.35">
      <c r="A98" s="1"/>
      <c r="B98" s="485"/>
      <c r="C98" s="485"/>
      <c r="D98" s="485"/>
      <c r="E98" s="485"/>
      <c r="F98" s="485"/>
      <c r="G98" s="485"/>
      <c r="H98" s="486"/>
      <c r="I98" s="485"/>
      <c r="J98" s="485"/>
      <c r="K98" s="486"/>
      <c r="L98" s="485"/>
      <c r="M98" s="603"/>
      <c r="N98" s="663"/>
      <c r="O98" s="663"/>
      <c r="P98" s="664"/>
      <c r="Q98" s="663"/>
      <c r="R98" s="663"/>
      <c r="S98" s="665"/>
    </row>
    <row r="99" spans="1:19" ht="15" customHeight="1" x14ac:dyDescent="0.35">
      <c r="A99" s="1"/>
      <c r="B99" s="485"/>
      <c r="C99" s="485"/>
      <c r="D99" s="485"/>
      <c r="E99" s="485"/>
      <c r="F99" s="485"/>
      <c r="G99" s="485"/>
      <c r="H99" s="486"/>
      <c r="I99" s="485"/>
      <c r="J99" s="485"/>
      <c r="K99" s="486"/>
      <c r="L99" s="485"/>
      <c r="M99" s="603"/>
      <c r="N99" s="663"/>
      <c r="O99" s="663"/>
      <c r="P99" s="664"/>
      <c r="Q99" s="663"/>
      <c r="R99" s="663"/>
      <c r="S99" s="665"/>
    </row>
    <row r="100" spans="1:19" ht="15" customHeight="1" x14ac:dyDescent="0.35">
      <c r="A100" s="1"/>
      <c r="B100" s="485"/>
      <c r="C100" s="485"/>
      <c r="D100" s="485"/>
      <c r="E100" s="485"/>
      <c r="F100" s="485"/>
      <c r="G100" s="485"/>
      <c r="H100" s="486"/>
      <c r="I100" s="485"/>
      <c r="J100" s="485"/>
      <c r="K100" s="486"/>
      <c r="L100" s="485"/>
      <c r="M100" s="603"/>
      <c r="N100" s="663"/>
      <c r="O100" s="663"/>
      <c r="P100" s="664"/>
      <c r="Q100" s="663"/>
      <c r="R100" s="663"/>
      <c r="S100" s="665"/>
    </row>
    <row r="101" spans="1:19" ht="15" customHeight="1" x14ac:dyDescent="0.35">
      <c r="A101" s="1"/>
      <c r="B101" s="485"/>
      <c r="C101" s="485"/>
      <c r="D101" s="485"/>
      <c r="E101" s="485"/>
      <c r="F101" s="485"/>
      <c r="G101" s="485"/>
      <c r="H101" s="486"/>
      <c r="I101" s="485"/>
      <c r="J101" s="485"/>
      <c r="K101" s="486"/>
      <c r="L101" s="485"/>
      <c r="M101" s="603"/>
      <c r="N101" s="663"/>
      <c r="O101" s="663"/>
      <c r="P101" s="664"/>
      <c r="Q101" s="663"/>
      <c r="R101" s="663"/>
      <c r="S101" s="665"/>
    </row>
    <row r="102" spans="1:19" ht="15" customHeight="1" x14ac:dyDescent="0.35">
      <c r="A102" s="1"/>
      <c r="B102" s="485"/>
      <c r="C102" s="485"/>
      <c r="D102" s="485"/>
      <c r="E102" s="485"/>
      <c r="F102" s="485"/>
      <c r="G102" s="485"/>
      <c r="H102" s="486"/>
      <c r="I102" s="485"/>
      <c r="J102" s="485"/>
      <c r="K102" s="486"/>
      <c r="L102" s="485"/>
      <c r="M102" s="603"/>
      <c r="N102" s="663"/>
      <c r="O102" s="663"/>
      <c r="P102" s="664"/>
      <c r="Q102" s="663"/>
      <c r="R102" s="663"/>
      <c r="S102" s="665"/>
    </row>
    <row r="103" spans="1:19" ht="15" customHeight="1" x14ac:dyDescent="0.35">
      <c r="A103" s="1"/>
      <c r="B103" s="485"/>
      <c r="C103" s="485"/>
      <c r="D103" s="485"/>
      <c r="E103" s="485"/>
      <c r="F103" s="485"/>
      <c r="G103" s="485"/>
      <c r="H103" s="486"/>
      <c r="I103" s="485"/>
      <c r="J103" s="485"/>
      <c r="K103" s="486"/>
      <c r="L103" s="485"/>
      <c r="M103" s="603"/>
      <c r="N103" s="663"/>
      <c r="O103" s="663"/>
      <c r="P103" s="664"/>
      <c r="Q103" s="663"/>
      <c r="R103" s="663"/>
      <c r="S103" s="665"/>
    </row>
    <row r="104" spans="1:19" ht="15" customHeight="1" x14ac:dyDescent="0.35">
      <c r="A104" s="1"/>
      <c r="B104" s="485"/>
      <c r="C104" s="485"/>
      <c r="D104" s="485"/>
      <c r="E104" s="485"/>
      <c r="F104" s="485"/>
      <c r="G104" s="485"/>
      <c r="H104" s="486"/>
      <c r="I104" s="485"/>
      <c r="J104" s="485"/>
      <c r="K104" s="486"/>
      <c r="L104" s="485"/>
      <c r="M104" s="603"/>
      <c r="N104" s="663"/>
      <c r="O104" s="663"/>
      <c r="P104" s="664"/>
      <c r="Q104" s="663"/>
      <c r="R104" s="663"/>
      <c r="S104" s="665"/>
    </row>
    <row r="105" spans="1:19" ht="15" customHeight="1" x14ac:dyDescent="0.35">
      <c r="A105" s="1"/>
      <c r="B105" s="485"/>
      <c r="C105" s="485"/>
      <c r="D105" s="485"/>
      <c r="E105" s="485"/>
      <c r="F105" s="485"/>
      <c r="G105" s="485"/>
      <c r="H105" s="486"/>
      <c r="I105" s="485"/>
      <c r="J105" s="485"/>
      <c r="K105" s="486"/>
      <c r="L105" s="485"/>
      <c r="M105" s="603"/>
      <c r="N105" s="663"/>
      <c r="O105" s="663"/>
      <c r="P105" s="664"/>
      <c r="Q105" s="663"/>
      <c r="R105" s="663"/>
      <c r="S105" s="665"/>
    </row>
    <row r="106" spans="1:19" ht="15" customHeight="1" x14ac:dyDescent="0.35">
      <c r="A106" s="1"/>
      <c r="B106" s="485"/>
      <c r="C106" s="485"/>
      <c r="D106" s="485"/>
      <c r="E106" s="485"/>
      <c r="F106" s="485"/>
      <c r="G106" s="485"/>
      <c r="H106" s="486"/>
      <c r="I106" s="485"/>
      <c r="J106" s="485"/>
      <c r="K106" s="486"/>
      <c r="L106" s="485"/>
      <c r="M106" s="603"/>
      <c r="N106" s="663"/>
      <c r="O106" s="663"/>
      <c r="P106" s="664"/>
      <c r="Q106" s="663"/>
      <c r="R106" s="663"/>
      <c r="S106" s="665"/>
    </row>
    <row r="107" spans="1:19" ht="15" customHeight="1" x14ac:dyDescent="0.35">
      <c r="A107" s="1"/>
      <c r="B107" s="485"/>
      <c r="C107" s="485"/>
      <c r="D107" s="485"/>
      <c r="E107" s="485"/>
      <c r="F107" s="485"/>
      <c r="G107" s="485"/>
      <c r="H107" s="486"/>
      <c r="I107" s="485"/>
      <c r="J107" s="485"/>
      <c r="K107" s="486"/>
      <c r="L107" s="485"/>
      <c r="M107" s="603"/>
      <c r="N107" s="663"/>
      <c r="O107" s="663"/>
      <c r="P107" s="664"/>
      <c r="Q107" s="663"/>
      <c r="R107" s="663"/>
      <c r="S107" s="665"/>
    </row>
    <row r="108" spans="1:19" ht="15" customHeight="1" x14ac:dyDescent="0.35">
      <c r="A108" s="1"/>
      <c r="B108" s="485"/>
      <c r="C108" s="485"/>
      <c r="D108" s="485"/>
      <c r="E108" s="485"/>
      <c r="F108" s="485"/>
      <c r="G108" s="485"/>
      <c r="H108" s="486"/>
      <c r="I108" s="485"/>
      <c r="J108" s="485"/>
      <c r="K108" s="486"/>
      <c r="L108" s="485"/>
      <c r="M108" s="603"/>
      <c r="N108" s="663"/>
      <c r="O108" s="663"/>
      <c r="P108" s="664"/>
      <c r="Q108" s="663"/>
      <c r="R108" s="663"/>
      <c r="S108" s="665"/>
    </row>
    <row r="109" spans="1:19" ht="15" customHeight="1" x14ac:dyDescent="0.35">
      <c r="A109" s="1"/>
      <c r="B109" s="485"/>
      <c r="C109" s="485"/>
      <c r="D109" s="485"/>
      <c r="E109" s="485"/>
      <c r="F109" s="485"/>
      <c r="G109" s="485"/>
      <c r="H109" s="486"/>
      <c r="I109" s="485"/>
      <c r="J109" s="485"/>
      <c r="K109" s="486"/>
      <c r="L109" s="485"/>
      <c r="M109" s="603"/>
      <c r="N109" s="663"/>
      <c r="O109" s="663"/>
      <c r="P109" s="664"/>
      <c r="Q109" s="663"/>
      <c r="R109" s="663"/>
      <c r="S109" s="665"/>
    </row>
    <row r="110" spans="1:19" ht="15" customHeight="1" x14ac:dyDescent="0.35">
      <c r="A110" s="1"/>
      <c r="B110" s="485"/>
      <c r="C110" s="485"/>
      <c r="D110" s="485"/>
      <c r="E110" s="485"/>
      <c r="F110" s="485"/>
      <c r="G110" s="485"/>
      <c r="H110" s="486"/>
      <c r="I110" s="485"/>
      <c r="J110" s="485"/>
      <c r="K110" s="486"/>
      <c r="L110" s="485"/>
      <c r="M110" s="603"/>
      <c r="N110" s="663"/>
      <c r="O110" s="663"/>
      <c r="P110" s="664"/>
      <c r="Q110" s="663"/>
      <c r="R110" s="663"/>
      <c r="S110" s="665"/>
    </row>
    <row r="111" spans="1:19" ht="15" customHeight="1" x14ac:dyDescent="0.35">
      <c r="A111" s="1"/>
      <c r="B111" s="485"/>
      <c r="C111" s="485"/>
      <c r="D111" s="485"/>
      <c r="E111" s="485"/>
      <c r="F111" s="485"/>
      <c r="G111" s="485"/>
      <c r="H111" s="486"/>
      <c r="I111" s="485"/>
      <c r="J111" s="485"/>
      <c r="K111" s="486"/>
      <c r="L111" s="485"/>
      <c r="M111" s="603"/>
      <c r="N111" s="663"/>
      <c r="O111" s="663"/>
      <c r="P111" s="664"/>
      <c r="Q111" s="663"/>
      <c r="R111" s="663"/>
      <c r="S111" s="665"/>
    </row>
    <row r="112" spans="1:19" ht="15" customHeight="1" x14ac:dyDescent="0.35">
      <c r="A112" s="1"/>
      <c r="B112" s="485"/>
      <c r="C112" s="485"/>
      <c r="D112" s="485"/>
      <c r="E112" s="485"/>
      <c r="F112" s="485"/>
      <c r="G112" s="485"/>
      <c r="H112" s="486"/>
      <c r="I112" s="485"/>
      <c r="J112" s="485"/>
      <c r="K112" s="486"/>
      <c r="L112" s="485"/>
      <c r="M112" s="603"/>
      <c r="N112" s="663"/>
      <c r="O112" s="663"/>
      <c r="P112" s="664"/>
      <c r="Q112" s="663"/>
      <c r="R112" s="663"/>
      <c r="S112" s="665"/>
    </row>
    <row r="113" spans="1:20" ht="15" customHeight="1" x14ac:dyDescent="0.35">
      <c r="A113" s="1"/>
      <c r="B113" s="485"/>
      <c r="C113" s="485"/>
      <c r="D113" s="485"/>
      <c r="E113" s="485"/>
      <c r="F113" s="485"/>
      <c r="G113" s="485"/>
      <c r="H113" s="486"/>
      <c r="I113" s="485"/>
      <c r="J113" s="485"/>
      <c r="K113" s="486"/>
      <c r="L113" s="485"/>
      <c r="M113" s="603"/>
      <c r="N113" s="663"/>
      <c r="O113" s="663"/>
      <c r="P113" s="664"/>
      <c r="Q113" s="663"/>
      <c r="R113" s="663"/>
      <c r="S113" s="665"/>
    </row>
    <row r="114" spans="1:20" ht="15" customHeight="1" x14ac:dyDescent="0.35">
      <c r="A114" s="1"/>
      <c r="B114" s="485"/>
      <c r="C114" s="485"/>
      <c r="D114" s="485"/>
      <c r="E114" s="485"/>
      <c r="F114" s="485"/>
      <c r="G114" s="485"/>
      <c r="H114" s="486"/>
      <c r="I114" s="485"/>
      <c r="J114" s="485"/>
      <c r="K114" s="486"/>
      <c r="L114" s="485"/>
      <c r="M114" s="603"/>
      <c r="N114" s="663"/>
      <c r="O114" s="663"/>
      <c r="P114" s="664"/>
      <c r="Q114" s="663"/>
      <c r="R114" s="663"/>
      <c r="S114" s="665"/>
    </row>
    <row r="115" spans="1:20" ht="15" customHeight="1" x14ac:dyDescent="0.35">
      <c r="A115" s="1"/>
      <c r="B115" s="485"/>
      <c r="C115" s="485"/>
      <c r="D115" s="485"/>
      <c r="E115" s="485"/>
      <c r="F115" s="485"/>
      <c r="G115" s="485"/>
      <c r="H115" s="486"/>
      <c r="I115" s="485"/>
      <c r="J115" s="485"/>
      <c r="K115" s="486"/>
      <c r="L115" s="485"/>
      <c r="M115" s="603"/>
      <c r="N115" s="663"/>
      <c r="O115" s="663"/>
      <c r="P115" s="664"/>
      <c r="Q115" s="663"/>
      <c r="R115" s="663"/>
      <c r="S115" s="665"/>
    </row>
    <row r="116" spans="1:20" ht="15" customHeight="1" x14ac:dyDescent="0.35">
      <c r="A116" s="1"/>
      <c r="B116" s="485"/>
      <c r="C116" s="485"/>
      <c r="D116" s="485"/>
      <c r="E116" s="485"/>
      <c r="F116" s="485"/>
      <c r="G116" s="485"/>
      <c r="H116" s="486"/>
      <c r="I116" s="485"/>
      <c r="J116" s="485"/>
      <c r="K116" s="486"/>
      <c r="L116" s="485"/>
      <c r="M116" s="603"/>
      <c r="N116" s="663"/>
      <c r="O116" s="663"/>
      <c r="P116" s="664"/>
      <c r="Q116" s="663"/>
      <c r="R116" s="663"/>
      <c r="S116" s="665"/>
    </row>
    <row r="117" spans="1:20" ht="15" customHeight="1" x14ac:dyDescent="0.35">
      <c r="A117" s="1"/>
      <c r="B117" s="485"/>
      <c r="C117" s="485"/>
      <c r="D117" s="485"/>
      <c r="E117" s="485"/>
      <c r="F117" s="485"/>
      <c r="G117" s="485"/>
      <c r="H117" s="486"/>
      <c r="I117" s="485"/>
      <c r="J117" s="485"/>
      <c r="K117" s="486"/>
      <c r="L117" s="485"/>
      <c r="M117" s="603"/>
      <c r="N117" s="663"/>
      <c r="O117" s="663"/>
      <c r="P117" s="664"/>
      <c r="Q117" s="663"/>
      <c r="R117" s="663"/>
      <c r="S117" s="665"/>
    </row>
    <row r="118" spans="1:20" ht="15" customHeight="1" x14ac:dyDescent="0.35">
      <c r="A118" s="1"/>
      <c r="B118" s="485"/>
      <c r="C118" s="485"/>
      <c r="D118" s="485"/>
      <c r="E118" s="485"/>
      <c r="F118" s="485"/>
      <c r="G118" s="485"/>
      <c r="H118" s="486"/>
      <c r="I118" s="485"/>
      <c r="J118" s="485"/>
      <c r="K118" s="486"/>
      <c r="L118" s="485"/>
      <c r="M118" s="603"/>
      <c r="N118" s="663"/>
      <c r="O118" s="663"/>
      <c r="P118" s="664"/>
      <c r="Q118" s="663"/>
      <c r="R118" s="663"/>
      <c r="S118" s="665"/>
    </row>
    <row r="119" spans="1:20" ht="15" customHeight="1" x14ac:dyDescent="0.35">
      <c r="A119" s="1"/>
      <c r="B119" s="485"/>
      <c r="C119" s="485"/>
      <c r="D119" s="485"/>
      <c r="E119" s="485"/>
      <c r="F119" s="485"/>
      <c r="G119" s="485"/>
      <c r="H119" s="486"/>
      <c r="I119" s="485"/>
      <c r="J119" s="485"/>
      <c r="K119" s="486"/>
      <c r="L119" s="485"/>
      <c r="M119" s="603"/>
      <c r="N119" s="663"/>
      <c r="O119" s="663"/>
      <c r="P119" s="664"/>
      <c r="Q119" s="663"/>
      <c r="R119" s="663"/>
      <c r="S119" s="665"/>
    </row>
    <row r="120" spans="1:20" ht="15" customHeight="1" x14ac:dyDescent="0.35">
      <c r="A120" s="1"/>
      <c r="B120" s="485"/>
      <c r="C120" s="485"/>
      <c r="D120" s="485"/>
      <c r="E120" s="485"/>
      <c r="F120" s="485"/>
      <c r="G120" s="485"/>
      <c r="H120" s="486"/>
      <c r="I120" s="485"/>
      <c r="J120" s="485"/>
      <c r="K120" s="486"/>
      <c r="L120" s="485"/>
      <c r="M120" s="603"/>
      <c r="N120" s="663"/>
      <c r="O120" s="663"/>
      <c r="P120" s="664"/>
      <c r="Q120" s="663"/>
      <c r="R120" s="663"/>
      <c r="S120" s="665"/>
    </row>
    <row r="121" spans="1:20" ht="15" customHeight="1" x14ac:dyDescent="0.35">
      <c r="A121" s="1"/>
      <c r="B121" s="485"/>
      <c r="C121" s="485"/>
      <c r="D121" s="485"/>
      <c r="E121" s="485"/>
      <c r="F121" s="485"/>
      <c r="G121" s="485"/>
      <c r="H121" s="486"/>
      <c r="I121" s="485"/>
      <c r="J121" s="485"/>
      <c r="K121" s="486"/>
      <c r="L121" s="485"/>
      <c r="M121" s="603"/>
      <c r="N121" s="663"/>
      <c r="O121" s="663"/>
      <c r="P121" s="664"/>
      <c r="Q121" s="663"/>
      <c r="R121" s="663"/>
      <c r="S121" s="665"/>
    </row>
    <row r="122" spans="1:20" ht="15" customHeight="1" x14ac:dyDescent="0.35">
      <c r="A122" s="1"/>
      <c r="B122" s="485"/>
      <c r="C122" s="485"/>
      <c r="D122" s="485"/>
      <c r="E122" s="485"/>
      <c r="F122" s="485"/>
      <c r="G122" s="485"/>
      <c r="H122" s="486"/>
      <c r="I122" s="485"/>
      <c r="J122" s="485"/>
      <c r="K122" s="486"/>
      <c r="L122" s="485"/>
      <c r="M122" s="603"/>
      <c r="N122" s="663"/>
      <c r="O122" s="663"/>
      <c r="P122" s="664"/>
      <c r="Q122" s="663"/>
      <c r="R122" s="663"/>
      <c r="S122" s="665"/>
    </row>
    <row r="123" spans="1:20" ht="15" customHeight="1" x14ac:dyDescent="0.35">
      <c r="A123" s="1"/>
      <c r="B123" s="485"/>
      <c r="C123" s="485"/>
      <c r="D123" s="485"/>
      <c r="E123" s="485"/>
      <c r="F123" s="485"/>
      <c r="G123" s="485"/>
      <c r="H123" s="486"/>
      <c r="I123" s="485"/>
      <c r="J123" s="485"/>
      <c r="K123" s="486"/>
      <c r="L123" s="485"/>
      <c r="M123" s="603"/>
      <c r="N123" s="663"/>
      <c r="O123" s="663"/>
      <c r="P123" s="664"/>
      <c r="Q123" s="663"/>
      <c r="R123" s="663"/>
      <c r="S123" s="665"/>
    </row>
    <row r="124" spans="1:20" ht="15" customHeight="1" x14ac:dyDescent="0.35">
      <c r="A124" s="1"/>
      <c r="B124" s="485"/>
      <c r="C124" s="485"/>
      <c r="D124" s="485"/>
      <c r="E124" s="485"/>
      <c r="F124" s="485"/>
      <c r="G124" s="485"/>
      <c r="H124" s="486"/>
      <c r="I124" s="485"/>
      <c r="J124" s="485"/>
      <c r="K124" s="486"/>
      <c r="L124" s="485"/>
      <c r="M124" s="603"/>
      <c r="N124" s="663"/>
      <c r="O124" s="663"/>
      <c r="P124" s="664"/>
      <c r="Q124" s="663"/>
      <c r="R124" s="663"/>
      <c r="S124" s="665"/>
      <c r="T124" s="335"/>
    </row>
    <row r="125" spans="1:20" ht="15" customHeight="1" x14ac:dyDescent="0.35">
      <c r="A125" s="1"/>
      <c r="B125" s="485"/>
      <c r="C125" s="485"/>
      <c r="D125" s="485"/>
      <c r="E125" s="485"/>
      <c r="F125" s="485"/>
      <c r="G125" s="485"/>
      <c r="H125" s="486"/>
      <c r="I125" s="485"/>
      <c r="J125" s="485"/>
      <c r="K125" s="486"/>
      <c r="L125" s="485"/>
      <c r="M125" s="603"/>
      <c r="N125" s="663"/>
      <c r="O125" s="663"/>
      <c r="P125" s="664"/>
      <c r="Q125" s="663"/>
      <c r="R125" s="663"/>
      <c r="S125" s="665"/>
      <c r="T125" s="335"/>
    </row>
    <row r="126" spans="1:20" ht="15" customHeight="1" x14ac:dyDescent="0.35">
      <c r="A126" s="1"/>
      <c r="B126" s="485"/>
      <c r="C126" s="485"/>
      <c r="D126" s="485"/>
      <c r="E126" s="485"/>
      <c r="F126" s="485"/>
      <c r="G126" s="485"/>
      <c r="H126" s="486"/>
      <c r="I126" s="485"/>
      <c r="J126" s="485"/>
      <c r="K126" s="486"/>
      <c r="L126" s="485"/>
      <c r="M126" s="603"/>
      <c r="N126" s="663"/>
      <c r="O126" s="663"/>
      <c r="P126" s="664"/>
      <c r="Q126" s="663"/>
      <c r="R126" s="663"/>
      <c r="S126" s="665"/>
      <c r="T126" s="335"/>
    </row>
    <row r="127" spans="1:20" ht="15" customHeight="1" x14ac:dyDescent="0.35">
      <c r="A127" s="1"/>
      <c r="B127" s="485"/>
      <c r="C127" s="485"/>
      <c r="D127" s="485"/>
      <c r="E127" s="485"/>
      <c r="F127" s="485"/>
      <c r="G127" s="485"/>
      <c r="H127" s="486"/>
      <c r="I127" s="485"/>
      <c r="J127" s="485"/>
      <c r="K127" s="486"/>
      <c r="L127" s="485"/>
      <c r="M127" s="603"/>
      <c r="N127" s="663"/>
      <c r="O127" s="663"/>
      <c r="P127" s="664"/>
      <c r="Q127" s="663"/>
      <c r="R127" s="663"/>
      <c r="S127" s="665"/>
      <c r="T127" s="335"/>
    </row>
    <row r="128" spans="1:20" ht="15" customHeight="1" x14ac:dyDescent="0.35">
      <c r="A128" s="1"/>
      <c r="B128" s="485"/>
      <c r="C128" s="485"/>
      <c r="D128" s="485"/>
      <c r="E128" s="485"/>
      <c r="F128" s="485"/>
      <c r="G128" s="485"/>
      <c r="H128" s="486"/>
      <c r="I128" s="485"/>
      <c r="J128" s="485"/>
      <c r="K128" s="486"/>
      <c r="L128" s="485"/>
      <c r="M128" s="603"/>
      <c r="N128" s="663"/>
      <c r="O128" s="663"/>
      <c r="P128" s="664"/>
      <c r="Q128" s="663"/>
      <c r="R128" s="663"/>
      <c r="S128" s="665"/>
      <c r="T128" s="335"/>
    </row>
    <row r="129" spans="1:20" ht="15" customHeight="1" x14ac:dyDescent="0.35">
      <c r="A129" s="1"/>
      <c r="B129" s="485"/>
      <c r="C129" s="485"/>
      <c r="D129" s="485"/>
      <c r="E129" s="485"/>
      <c r="F129" s="485"/>
      <c r="G129" s="485"/>
      <c r="H129" s="486"/>
      <c r="I129" s="485"/>
      <c r="J129" s="485"/>
      <c r="K129" s="486"/>
      <c r="L129" s="485"/>
      <c r="M129" s="603"/>
      <c r="N129" s="663"/>
      <c r="O129" s="663"/>
      <c r="P129" s="664"/>
      <c r="Q129" s="663"/>
      <c r="R129" s="663"/>
      <c r="S129" s="665"/>
      <c r="T129" s="335"/>
    </row>
    <row r="130" spans="1:20" ht="15" customHeight="1" x14ac:dyDescent="0.35">
      <c r="A130" s="1"/>
      <c r="B130" s="485"/>
      <c r="C130" s="485"/>
      <c r="D130" s="485"/>
      <c r="E130" s="485"/>
      <c r="F130" s="485"/>
      <c r="G130" s="485"/>
      <c r="H130" s="486"/>
      <c r="I130" s="485"/>
      <c r="J130" s="485"/>
      <c r="K130" s="486"/>
      <c r="L130" s="485"/>
      <c r="M130" s="603"/>
      <c r="N130" s="663"/>
      <c r="O130" s="663"/>
      <c r="P130" s="664"/>
      <c r="Q130" s="663"/>
      <c r="R130" s="663"/>
      <c r="S130" s="665"/>
    </row>
    <row r="131" spans="1:20" ht="15" customHeight="1" x14ac:dyDescent="0.35">
      <c r="A131" s="1"/>
      <c r="B131" s="485"/>
      <c r="C131" s="485"/>
      <c r="D131" s="485"/>
      <c r="E131" s="485"/>
      <c r="F131" s="485"/>
      <c r="G131" s="485"/>
      <c r="H131" s="486"/>
      <c r="I131" s="485"/>
      <c r="J131" s="485"/>
      <c r="K131" s="486"/>
      <c r="L131" s="485"/>
      <c r="M131" s="603"/>
      <c r="N131" s="663"/>
      <c r="O131" s="663"/>
      <c r="P131" s="664"/>
      <c r="Q131" s="663"/>
      <c r="R131" s="663"/>
      <c r="S131" s="665"/>
    </row>
    <row r="132" spans="1:20" ht="15" customHeight="1" x14ac:dyDescent="0.35">
      <c r="A132" s="1"/>
      <c r="B132" s="485"/>
      <c r="C132" s="485"/>
      <c r="D132" s="485"/>
      <c r="E132" s="485"/>
      <c r="F132" s="485"/>
      <c r="G132" s="485"/>
      <c r="H132" s="486"/>
      <c r="I132" s="485"/>
      <c r="J132" s="485"/>
      <c r="K132" s="486"/>
      <c r="L132" s="485"/>
      <c r="M132" s="603"/>
      <c r="N132" s="663"/>
      <c r="O132" s="663"/>
      <c r="P132" s="664"/>
      <c r="Q132" s="663"/>
      <c r="R132" s="663"/>
      <c r="S132" s="665"/>
    </row>
    <row r="133" spans="1:20" ht="15" customHeight="1" x14ac:dyDescent="0.35">
      <c r="A133" s="1"/>
      <c r="B133" s="485"/>
      <c r="C133" s="485"/>
      <c r="D133" s="485"/>
      <c r="E133" s="485"/>
      <c r="F133" s="485"/>
      <c r="G133" s="485"/>
      <c r="H133" s="486"/>
      <c r="I133" s="485"/>
      <c r="J133" s="485"/>
      <c r="K133" s="486"/>
      <c r="L133" s="485"/>
      <c r="M133" s="603"/>
      <c r="N133" s="663"/>
      <c r="O133" s="663"/>
      <c r="P133" s="664"/>
      <c r="Q133" s="663"/>
      <c r="R133" s="663"/>
      <c r="S133" s="665"/>
    </row>
    <row r="134" spans="1:20" ht="15" customHeight="1" x14ac:dyDescent="0.35">
      <c r="A134" s="1"/>
      <c r="B134" s="485"/>
      <c r="C134" s="485"/>
      <c r="D134" s="485"/>
      <c r="E134" s="485"/>
      <c r="F134" s="485"/>
      <c r="G134" s="485"/>
      <c r="H134" s="486"/>
      <c r="I134" s="485"/>
      <c r="J134" s="485"/>
      <c r="K134" s="486"/>
      <c r="L134" s="485"/>
      <c r="M134" s="603"/>
      <c r="N134" s="663"/>
      <c r="O134" s="663"/>
      <c r="P134" s="664"/>
      <c r="Q134" s="663"/>
      <c r="R134" s="663"/>
      <c r="S134" s="665"/>
    </row>
    <row r="135" spans="1:20" ht="15" customHeight="1" x14ac:dyDescent="0.35">
      <c r="A135" s="1"/>
      <c r="B135" s="485"/>
      <c r="C135" s="485"/>
      <c r="D135" s="485"/>
      <c r="E135" s="485"/>
      <c r="F135" s="485"/>
      <c r="G135" s="485"/>
      <c r="H135" s="486"/>
      <c r="I135" s="485"/>
      <c r="J135" s="485"/>
      <c r="K135" s="486"/>
      <c r="L135" s="485"/>
      <c r="M135" s="603"/>
      <c r="N135" s="663"/>
      <c r="O135" s="663"/>
      <c r="P135" s="664"/>
      <c r="Q135" s="663"/>
      <c r="R135" s="663"/>
      <c r="S135" s="665"/>
    </row>
    <row r="136" spans="1:20" ht="15" customHeight="1" x14ac:dyDescent="0.35">
      <c r="A136" s="1"/>
      <c r="B136" s="485"/>
      <c r="C136" s="485"/>
      <c r="D136" s="485"/>
      <c r="E136" s="485"/>
      <c r="F136" s="485"/>
      <c r="G136" s="485"/>
      <c r="H136" s="486"/>
      <c r="I136" s="485"/>
      <c r="J136" s="485"/>
      <c r="K136" s="486"/>
      <c r="L136" s="485"/>
      <c r="M136" s="603"/>
      <c r="N136" s="663"/>
      <c r="O136" s="663"/>
      <c r="P136" s="664"/>
      <c r="Q136" s="663"/>
      <c r="R136" s="663"/>
      <c r="S136" s="665"/>
    </row>
    <row r="137" spans="1:20" ht="15" customHeight="1" x14ac:dyDescent="0.35">
      <c r="A137" s="1"/>
      <c r="B137" s="485"/>
      <c r="C137" s="485"/>
      <c r="D137" s="485"/>
      <c r="E137" s="485"/>
      <c r="F137" s="485"/>
      <c r="G137" s="485"/>
      <c r="H137" s="486"/>
      <c r="I137" s="485"/>
      <c r="J137" s="485"/>
      <c r="K137" s="486"/>
      <c r="L137" s="485"/>
      <c r="M137" s="603"/>
      <c r="N137" s="663"/>
      <c r="O137" s="663"/>
      <c r="P137" s="664"/>
      <c r="Q137" s="663"/>
      <c r="R137" s="663"/>
      <c r="S137" s="665"/>
    </row>
    <row r="138" spans="1:20" ht="15" customHeight="1" x14ac:dyDescent="0.35">
      <c r="A138" s="1"/>
      <c r="B138" s="485"/>
      <c r="C138" s="485"/>
      <c r="D138" s="485"/>
      <c r="E138" s="485"/>
      <c r="F138" s="485"/>
      <c r="G138" s="485"/>
      <c r="H138" s="486"/>
      <c r="I138" s="485"/>
      <c r="J138" s="485"/>
      <c r="K138" s="486"/>
      <c r="L138" s="485"/>
      <c r="M138" s="603"/>
      <c r="N138" s="663"/>
      <c r="O138" s="663"/>
      <c r="P138" s="664"/>
      <c r="Q138" s="663"/>
      <c r="R138" s="663"/>
      <c r="S138" s="665"/>
    </row>
    <row r="139" spans="1:20" ht="15" customHeight="1" x14ac:dyDescent="0.35">
      <c r="A139" s="1"/>
      <c r="B139" s="485"/>
      <c r="C139" s="485"/>
      <c r="D139" s="485"/>
      <c r="E139" s="485"/>
      <c r="F139" s="485"/>
      <c r="G139" s="485"/>
      <c r="H139" s="486"/>
      <c r="I139" s="485"/>
      <c r="J139" s="485"/>
      <c r="K139" s="487"/>
      <c r="L139" s="488"/>
      <c r="M139" s="489"/>
    </row>
    <row r="140" spans="1:20" ht="15" customHeight="1" x14ac:dyDescent="0.35">
      <c r="G140" s="485"/>
      <c r="H140" s="486"/>
      <c r="I140" s="485"/>
      <c r="J140" s="485"/>
      <c r="K140" s="487"/>
      <c r="L140" s="488"/>
    </row>
  </sheetData>
  <sheetProtection algorithmName="SHA-512" hashValue="65QLczpmnkQde8UYpa2V4CT/cSDEzbCRrjR6x3OEG7LBOmYk/OeN89Ko0b4n3+6KJ2LS/UsDIrqsF5qMoodmrA==" saltValue="N6WPuYSVS2oIMWdijG5wrw==" spinCount="100000" sheet="1" objects="1" scenarios="1"/>
  <mergeCells count="8">
    <mergeCell ref="B26:D26"/>
    <mergeCell ref="B1:S1"/>
    <mergeCell ref="B19:D19"/>
    <mergeCell ref="B4:D18"/>
    <mergeCell ref="J40:K41"/>
    <mergeCell ref="F3:L3"/>
    <mergeCell ref="O34:R36"/>
    <mergeCell ref="B34:D56"/>
  </mergeCells>
  <phoneticPr fontId="39" type="noConversion"/>
  <conditionalFormatting sqref="H40:H41 J40:K41">
    <cfRule type="expression" dxfId="47" priority="1">
      <formula>IF(Area_Conditioned+Area_Unconditioned&lt;&gt;Area_Building,1,0)</formula>
    </cfRule>
  </conditionalFormatting>
  <dataValidations xWindow="873" yWindow="637" count="26">
    <dataValidation type="list" allowBlank="1" showErrorMessage="1" sqref="H19" xr:uid="{00000000-0002-0000-0000-000000000000}">
      <formula1>"Urban,Suburban,Rural"</formula1>
    </dataValidation>
    <dataValidation type="list" allowBlank="1" showErrorMessage="1" sqref="H20" xr:uid="{00000000-0002-0000-0000-000001000000}">
      <formula1>"Yes,No,Yes - Brownfield,Partially"</formula1>
    </dataValidation>
    <dataValidation type="list" allowBlank="1" showErrorMessage="1" sqref="H60" xr:uid="{00000000-0002-0000-0000-000002000000}">
      <formula1>"Yes,No,Hmm…I'm totally interested in learning more"</formula1>
    </dataValidation>
    <dataValidation type="list" allowBlank="1" showErrorMessage="1" sqref="H18" xr:uid="{00000000-0002-0000-0000-000005000000}">
      <formula1>"New Construction,Renovation,Interiors Only,Renovation and New Construction"</formula1>
    </dataValidation>
    <dataValidation type="list" allowBlank="1" showInputMessage="1" showErrorMessage="1" sqref="H15" xr:uid="{73158796-7165-4F01-A07C-FE7B1DC2E468}">
      <formula1>"1A,2A,2B,3A,3B,3C,4A,4B,4C, 5A,5B,6A,6B,7,8,Other"</formula1>
    </dataValidation>
    <dataValidation type="list" allowBlank="1" showInputMessage="1" showErrorMessage="1" sqref="H11:H12" xr:uid="{1DC91860-58D8-43DE-A838-1C87877970E8}">
      <formula1>State_Region_Headers</formula1>
    </dataValidation>
    <dataValidation allowBlank="1" showInputMessage="1" showErrorMessage="1" promptTitle="Average Daily Occupancy " prompt="The typical occupancy at any given time during occupied hours." sqref="G49" xr:uid="{68E36872-5B34-410F-8205-B662AEE5CDB9}"/>
    <dataValidation type="list" allowBlank="1" showErrorMessage="1" sqref="H61" xr:uid="{666BD266-B880-4787-A953-50A71003D91D}">
      <formula1>"Yes,No, Not Yet!"</formula1>
    </dataValidation>
    <dataValidation allowBlank="1" showInputMessage="1" showErrorMessage="1" promptTitle="To convert from acres" prompt="1 Acre = 43,560 sf" sqref="G43" xr:uid="{F391A70E-DC26-4F08-A5D7-E82DE808C823}"/>
    <dataValidation allowBlank="1" showInputMessage="1" showErrorMessage="1" promptTitle="This is days of normal operation" prompt="Make an eduacted guess:_x000a_For an office or school this might be weekdays - 260_x000a_For a hospital, university, or residence, this might be everyday - 365_x000a_For a vacation home this might be weekends - 104_x000a_Etc." sqref="G53" xr:uid="{DEE43D1C-1E40-4AB1-81E9-AD5CDB951979}"/>
    <dataValidation allowBlank="1" showInputMessage="1" showErrorMessage="1" promptTitle="Hours with typical occupancy" prompt="Make an eduacted guess:_x000a_For an office or school this might 10 hours/day_x000a_For a hospital this might be 24 hours/day_x000a_For a residence, this might be 14 hours/day_x000a_For an auditorium this might be 4 hours/ day" sqref="G54" xr:uid="{341FDB3D-54D9-4929-A4EE-7B606477BAE6}"/>
    <dataValidation allowBlank="1" showInputMessage="1" showErrorMessage="1" promptTitle="Site Environment" prompt="This is a required field as it is tied to several benchmark calculations. " sqref="G19" xr:uid="{61FE8CD1-86C8-4A40-BA76-EE3EC5E5D1A4}"/>
    <dataValidation allowBlank="1" showInputMessage="1" showErrorMessage="1" promptTitle="Full Time Equivalents" prompt="FTE represents a building occupant who spends 8 hours a day in the project builging. Part-time and transient occupants have FTE values based on their hours per day divided by 8." sqref="G50" xr:uid="{941C779B-AA92-4DB0-B79A-18A4146BB371}"/>
    <dataValidation allowBlank="1" showInputMessage="1" showErrorMessage="1" promptTitle="Regularly occupied space" prompt="area where one or more individuals spend more than one continuous hour per day on average." sqref="G42" xr:uid="{EBA1BECB-1B70-4122-A382-F42C094779B5}"/>
    <dataValidation allowBlank="1" sqref="H65" xr:uid="{6017EE78-F3CF-4ED7-B7C9-9A53D618F76D}"/>
    <dataValidation type="list" allowBlank="1" sqref="H62:H64" xr:uid="{15898512-D602-437E-8F1C-AABC43013919}">
      <formula1>"None,LEED,LBC/LCC,WELL,Energy Star,Net-Zero Energy,Net-Zero Carbon,Passive House,Other"</formula1>
    </dataValidation>
    <dataValidation type="list" showInputMessage="1" showErrorMessage="1" sqref="H30:H37" xr:uid="{6A948622-D3B4-4817-BF5C-E41F6CED2A55}">
      <formula1>Building_Type_Headers</formula1>
    </dataValidation>
    <dataValidation allowBlank="1" showInputMessage="1" showErrorMessage="1" promptTitle="Program Breakdown Instructions" prompt="If your building program is either of the following, please assign 100% of your Building Area to that type:_x000a_* Laboratory_x000a_* Residential - Single Family" sqref="H29:I29" xr:uid="{9B6F2FD5-FA3D-4AEF-88C5-996AD0A66CE1}"/>
    <dataValidation allowBlank="1" showInputMessage="1" showErrorMessage="1" promptTitle="Other Climate Zones" prompt="Use this field to record other applicable climate zones. For example, California projects may have a Title 24 Climate Zone and International projects may use the Koppen Climate Classification." sqref="G16" xr:uid="{342DB2A1-AFBB-492E-95C0-6B82AE8B43AC}"/>
    <dataValidation allowBlank="1" showInputMessage="1" showErrorMessage="1" promptTitle="Unconditioned Building Area" prompt="This number should be gross area of unconditioned space and should not include underground or structured parking." sqref="G41" xr:uid="{69296E5D-0299-4512-8AFD-85A4F821AEE0}"/>
    <dataValidation allowBlank="1" showInputMessage="1" showErrorMessage="1" promptTitle="Total Construction Cost" prompt="The total construction cost should not include furniture or furnishings. " sqref="G23" xr:uid="{E1A2E3B9-F636-42AC-B63B-A2E6A1CFABF0}"/>
    <dataValidation allowBlank="1" showInputMessage="1" showErrorMessage="1" promptTitle="Conditioned Building Area" prompt="This number should be gross area of conditioned space and should not include underground or structured parking." sqref="G40" xr:uid="{2B98C57A-2865-4321-8CCB-A3BC6E21EDE7}"/>
    <dataValidation allowBlank="1" showInputMessage="1" showErrorMessage="1" promptTitle="International Projects" prompt="Inputs in this field are informational only for international projects. They do not factor into the benchmark calculations in Step 2. Spreadsheet users should calculate region specific benchmarks and fill in the &quot;User-Defined&quot; cell. " sqref="G9 G11:G12" xr:uid="{2309B354-0E4C-4F3C-9286-5BA50F9FEFB7}"/>
    <dataValidation allowBlank="1" showInputMessage="1" showErrorMessage="1" promptTitle="International Projects" prompt="Inputs in this field are informational only for int'l projects and do not factor into benchmark calcs in Step 2. You can research region specific benchmarks and fill in the &quot;User-Defined&quot; cell or use the link provided to find a US equivalent zip code. " sqref="G13" xr:uid="{302C7038-BD5D-4C81-9E40-A6BB3DF8483F}"/>
    <dataValidation allowBlank="1" showInputMessage="1" showErrorMessage="1" prompt="Obtain a regionally specific carbon conversion factor by entering your project zipcode on the EPA's eGrid website. For project locations not available on eGrid, use the national average conversion factor of 0.118. " sqref="N21" xr:uid="{E3464637-51A4-48A0-96DD-65BCB1AB2C94}"/>
    <dataValidation allowBlank="1" showInputMessage="1" showErrorMessage="1" prompt="Obtain a regionally specific carbon conversion factor by entering your project zipcode on the EPA's eGrid website. For project locations not available on eGrid, use the national average conversion factor of 852.3 lb/mWh. " sqref="O21" xr:uid="{25322D5D-98AF-4476-8DD7-DB99254429FF}"/>
  </dataValidations>
  <hyperlinks>
    <hyperlink ref="J15" r:id="rId1" display="(Link)" xr:uid="{9E428730-DFF3-4D5B-B8BE-4A339DDCFFC4}"/>
    <hyperlink ref="R17" r:id="rId2" xr:uid="{E8F0227B-BC46-4ACA-B3C1-7F75EFFDF502}"/>
    <hyperlink ref="J16" r:id="rId3" display="(Link)" xr:uid="{DF57C86A-03E1-4BC8-801A-A08E594F1703}"/>
    <hyperlink ref="B19:D19" r:id="rId4" display="Visit the AIA website forCOTE Top 10 FAQs" xr:uid="{280AE292-2AAF-48C0-8C4F-50CB369B4243}"/>
    <hyperlink ref="B19" r:id="rId5" display="https://network.aia.org/blogs/eana-bacchiocchi/2022/09/26/2023-cote-top-ten-award-submissions-qa" xr:uid="{46D67405-8EC7-4B59-B3C7-4E8F620E2221}"/>
    <hyperlink ref="R21" r:id="rId6" location="/" display="Use regional conversion factor from eGrid " xr:uid="{D1C5BF55-324D-4075-8374-2917DCD7C264}"/>
  </hyperlinks>
  <pageMargins left="0.7" right="0.7" top="0.75" bottom="0.75" header="0" footer="0"/>
  <pageSetup orientation="portrait" r:id="rId7"/>
  <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outlinePr summaryBelow="0" summaryRight="0"/>
  </sheetPr>
  <dimension ref="A1:AL1019"/>
  <sheetViews>
    <sheetView workbookViewId="0">
      <selection activeCell="B33" sqref="B33:B43"/>
    </sheetView>
  </sheetViews>
  <sheetFormatPr defaultColWidth="14.453125" defaultRowHeight="15" customHeight="1" x14ac:dyDescent="0.35"/>
  <cols>
    <col min="1" max="1" width="4.08984375" style="6" customWidth="1"/>
    <col min="2" max="2" width="30.6328125" style="6" customWidth="1"/>
    <col min="3" max="4" width="3.36328125" style="6" customWidth="1"/>
    <col min="5" max="5" width="46.6328125" style="6" customWidth="1"/>
    <col min="6" max="6" width="30.6328125" style="687" customWidth="1"/>
    <col min="7" max="7" width="12.6328125" style="686" customWidth="1"/>
    <col min="8" max="8" width="3.6328125" style="6" customWidth="1"/>
    <col min="9" max="9" width="3.36328125" style="6" customWidth="1"/>
    <col min="10" max="10" width="27.08984375" style="6" customWidth="1"/>
    <col min="11" max="11" width="2.453125" style="6" customWidth="1"/>
    <col min="12" max="12" width="26.453125" style="6" bestFit="1" customWidth="1"/>
    <col min="13" max="13" width="3.08984375" style="6" customWidth="1"/>
    <col min="14" max="14" width="8.6328125" style="6" customWidth="1"/>
    <col min="15" max="15" width="32.6328125" style="6" customWidth="1"/>
    <col min="16" max="16" width="6.453125" style="6" customWidth="1"/>
    <col min="17" max="16384" width="14.453125" style="6"/>
  </cols>
  <sheetData>
    <row r="1" spans="1:34" ht="21" x14ac:dyDescent="0.35">
      <c r="A1" s="343"/>
      <c r="B1" s="343" t="s">
        <v>886</v>
      </c>
      <c r="C1" s="343"/>
      <c r="D1" s="343"/>
      <c r="E1" s="343"/>
      <c r="F1" s="1346"/>
      <c r="G1" s="1347"/>
      <c r="H1" s="1348"/>
      <c r="I1" s="1348"/>
      <c r="J1" s="1348"/>
      <c r="K1" s="1348"/>
      <c r="L1" s="1348"/>
      <c r="M1" s="1348"/>
      <c r="N1" s="1348"/>
      <c r="O1" s="1348"/>
      <c r="P1" s="1348"/>
      <c r="Q1" s="7"/>
      <c r="R1" s="7"/>
      <c r="S1" s="7"/>
      <c r="T1" s="7"/>
      <c r="U1" s="7"/>
      <c r="V1" s="7"/>
      <c r="W1" s="7"/>
      <c r="X1" s="7"/>
      <c r="Y1" s="7"/>
      <c r="Z1" s="7"/>
      <c r="AA1" s="7"/>
      <c r="AB1" s="7"/>
      <c r="AC1" s="7"/>
      <c r="AD1" s="7"/>
      <c r="AE1" s="7"/>
      <c r="AF1" s="7"/>
      <c r="AG1" s="7"/>
      <c r="AH1" s="7"/>
    </row>
    <row r="2" spans="1:34" s="63" customFormat="1" ht="13" x14ac:dyDescent="0.35">
      <c r="A2" s="8"/>
      <c r="B2" s="8"/>
      <c r="C2" s="8"/>
      <c r="D2" s="8"/>
      <c r="E2" s="8"/>
      <c r="F2" s="64"/>
      <c r="G2" s="70"/>
      <c r="H2" s="8"/>
      <c r="I2" s="8"/>
      <c r="J2" s="8"/>
      <c r="K2" s="8"/>
      <c r="L2" s="8"/>
      <c r="M2" s="8"/>
      <c r="N2" s="8"/>
      <c r="O2" s="8"/>
      <c r="P2" s="8"/>
      <c r="Q2" s="8"/>
      <c r="R2" s="8"/>
      <c r="S2" s="8"/>
      <c r="T2" s="8"/>
      <c r="U2" s="8"/>
      <c r="V2" s="8"/>
      <c r="W2" s="8"/>
      <c r="X2" s="8"/>
      <c r="Y2" s="8"/>
      <c r="Z2" s="8"/>
      <c r="AA2" s="8"/>
      <c r="AB2" s="8"/>
      <c r="AC2" s="8"/>
      <c r="AD2" s="8"/>
      <c r="AE2" s="8"/>
      <c r="AF2" s="8"/>
      <c r="AG2" s="8"/>
      <c r="AH2" s="8"/>
    </row>
    <row r="3" spans="1:34" s="901" customFormat="1" thickBot="1" x14ac:dyDescent="0.4">
      <c r="A3" s="893"/>
      <c r="B3" s="895" t="s">
        <v>71</v>
      </c>
      <c r="C3" s="893"/>
      <c r="D3" s="893"/>
      <c r="E3" s="1688" t="s">
        <v>684</v>
      </c>
      <c r="F3" s="1689"/>
      <c r="G3" s="1689"/>
      <c r="H3" s="895"/>
      <c r="I3" s="895"/>
      <c r="J3" s="895" t="s">
        <v>118</v>
      </c>
      <c r="K3" s="895"/>
      <c r="L3" s="895"/>
      <c r="M3" s="895"/>
      <c r="N3" s="895" t="s">
        <v>119</v>
      </c>
      <c r="O3" s="893"/>
      <c r="P3" s="893"/>
      <c r="Q3" s="893"/>
      <c r="R3" s="893"/>
      <c r="S3" s="893"/>
      <c r="T3" s="893"/>
      <c r="U3" s="893"/>
      <c r="V3" s="893"/>
      <c r="W3" s="893"/>
      <c r="X3" s="893"/>
      <c r="Y3" s="893"/>
      <c r="Z3" s="893"/>
      <c r="AA3" s="893"/>
      <c r="AB3" s="893"/>
      <c r="AC3" s="893"/>
      <c r="AD3" s="893"/>
      <c r="AE3" s="893"/>
      <c r="AF3" s="893"/>
      <c r="AG3" s="893"/>
      <c r="AH3" s="893"/>
    </row>
    <row r="4" spans="1:34" s="301" customFormat="1" ht="13" x14ac:dyDescent="0.35">
      <c r="A4" s="8"/>
      <c r="B4" s="1802" t="s">
        <v>452</v>
      </c>
      <c r="C4" s="8"/>
      <c r="D4" s="1636" t="s">
        <v>863</v>
      </c>
      <c r="E4" s="1637"/>
      <c r="F4" s="1637"/>
      <c r="G4" s="1637"/>
      <c r="H4" s="1638"/>
      <c r="I4" s="8"/>
      <c r="J4" s="1349" t="s">
        <v>453</v>
      </c>
      <c r="K4" s="1350"/>
      <c r="L4" s="1350"/>
      <c r="M4" s="8"/>
      <c r="N4" s="1351"/>
      <c r="O4" s="1351"/>
      <c r="P4" s="8"/>
      <c r="Q4" s="8"/>
      <c r="R4" s="8"/>
      <c r="S4" s="8"/>
      <c r="T4" s="8"/>
      <c r="U4" s="8"/>
      <c r="V4" s="8"/>
      <c r="W4" s="8"/>
      <c r="X4" s="8"/>
      <c r="Y4" s="8"/>
      <c r="Z4" s="8"/>
      <c r="AA4" s="8"/>
      <c r="AB4" s="8"/>
      <c r="AC4" s="8"/>
      <c r="AD4" s="8"/>
      <c r="AE4" s="8"/>
      <c r="AF4" s="8"/>
      <c r="AG4" s="8"/>
      <c r="AH4" s="8"/>
    </row>
    <row r="5" spans="1:34" s="63" customFormat="1" ht="13" x14ac:dyDescent="0.35">
      <c r="A5" s="8"/>
      <c r="B5" s="1622"/>
      <c r="C5" s="8"/>
      <c r="D5" s="1352"/>
      <c r="E5" s="906"/>
      <c r="F5" s="810"/>
      <c r="G5" s="515"/>
      <c r="H5" s="823"/>
      <c r="I5" s="8"/>
      <c r="J5" s="1351" t="s">
        <v>141</v>
      </c>
      <c r="K5" s="1351">
        <v>0</v>
      </c>
      <c r="L5" s="1351"/>
      <c r="M5" s="8"/>
      <c r="N5" s="1351"/>
      <c r="O5" s="1351"/>
      <c r="P5" s="8"/>
      <c r="Q5" s="8"/>
      <c r="R5" s="8"/>
      <c r="S5" s="8"/>
      <c r="T5" s="8"/>
      <c r="U5" s="8"/>
      <c r="V5" s="8"/>
      <c r="W5" s="8"/>
      <c r="X5" s="8"/>
      <c r="Y5" s="8"/>
      <c r="Z5" s="8"/>
      <c r="AA5" s="8"/>
      <c r="AB5" s="8"/>
      <c r="AC5" s="8"/>
      <c r="AD5" s="8"/>
      <c r="AE5" s="8"/>
      <c r="AF5" s="8"/>
      <c r="AG5" s="8"/>
      <c r="AH5" s="8"/>
    </row>
    <row r="6" spans="1:34" s="63" customFormat="1" ht="13" x14ac:dyDescent="0.35">
      <c r="A6" s="8"/>
      <c r="B6" s="1622"/>
      <c r="C6" s="8"/>
      <c r="D6" s="991"/>
      <c r="E6" s="1353" t="s">
        <v>454</v>
      </c>
      <c r="F6" s="978"/>
      <c r="G6" s="583"/>
      <c r="H6" s="813"/>
      <c r="I6" s="8"/>
      <c r="J6" s="1351" t="s">
        <v>455</v>
      </c>
      <c r="K6" s="1351">
        <v>1</v>
      </c>
      <c r="L6" s="1351"/>
      <c r="M6" s="8"/>
      <c r="N6" s="1351"/>
      <c r="O6" s="1351"/>
      <c r="P6" s="8"/>
      <c r="Q6" s="8"/>
      <c r="R6" s="8"/>
      <c r="S6" s="8"/>
      <c r="T6" s="8"/>
      <c r="U6" s="8"/>
      <c r="V6" s="8"/>
      <c r="W6" s="8"/>
      <c r="X6" s="8"/>
      <c r="Y6" s="8"/>
      <c r="Z6" s="8"/>
      <c r="AA6" s="8"/>
      <c r="AB6" s="8"/>
      <c r="AC6" s="8"/>
      <c r="AD6" s="8"/>
      <c r="AE6" s="8"/>
      <c r="AF6" s="8"/>
      <c r="AG6" s="8"/>
      <c r="AH6" s="8"/>
    </row>
    <row r="7" spans="1:34" s="63" customFormat="1" ht="13" x14ac:dyDescent="0.35">
      <c r="A7" s="8"/>
      <c r="B7" s="1622"/>
      <c r="C7" s="8"/>
      <c r="D7" s="991"/>
      <c r="E7" s="344" t="s">
        <v>456</v>
      </c>
      <c r="F7" s="358"/>
      <c r="G7" s="1285" t="s">
        <v>687</v>
      </c>
      <c r="H7" s="813"/>
      <c r="I7" s="8"/>
      <c r="J7" s="1351" t="s">
        <v>377</v>
      </c>
      <c r="K7" s="1354">
        <v>2</v>
      </c>
      <c r="L7" s="1351"/>
      <c r="M7" s="8"/>
      <c r="N7" s="1351"/>
      <c r="O7" s="1351"/>
      <c r="P7" s="8"/>
      <c r="Q7" s="8"/>
      <c r="R7" s="8"/>
      <c r="S7" s="8"/>
      <c r="T7" s="8"/>
      <c r="U7" s="8"/>
      <c r="V7" s="8"/>
      <c r="W7" s="8"/>
      <c r="X7" s="8"/>
      <c r="Y7" s="8"/>
      <c r="Z7" s="8"/>
      <c r="AA7" s="8"/>
      <c r="AB7" s="8"/>
      <c r="AC7" s="8"/>
      <c r="AD7" s="8"/>
      <c r="AE7" s="8"/>
      <c r="AF7" s="8"/>
      <c r="AG7" s="8"/>
      <c r="AH7" s="8"/>
    </row>
    <row r="8" spans="1:34" s="63" customFormat="1" ht="13" x14ac:dyDescent="0.35">
      <c r="A8" s="8"/>
      <c r="B8" s="1622"/>
      <c r="C8" s="8"/>
      <c r="D8" s="991"/>
      <c r="E8" s="344" t="s">
        <v>457</v>
      </c>
      <c r="F8" s="358"/>
      <c r="G8" s="1285" t="s">
        <v>687</v>
      </c>
      <c r="H8" s="813"/>
      <c r="I8" s="8"/>
      <c r="J8" s="1351" t="s">
        <v>163</v>
      </c>
      <c r="K8" s="1354">
        <v>3</v>
      </c>
      <c r="L8" s="1351"/>
      <c r="M8" s="8"/>
      <c r="N8" s="1351"/>
      <c r="O8" s="1351"/>
      <c r="P8" s="8"/>
      <c r="Q8" s="8"/>
      <c r="R8" s="8"/>
      <c r="S8" s="8"/>
      <c r="T8" s="8"/>
      <c r="U8" s="8"/>
      <c r="V8" s="8"/>
      <c r="W8" s="8"/>
      <c r="X8" s="8"/>
      <c r="Y8" s="8"/>
      <c r="Z8" s="8"/>
      <c r="AA8" s="8"/>
      <c r="AB8" s="8"/>
      <c r="AC8" s="8"/>
      <c r="AD8" s="8"/>
      <c r="AE8" s="8"/>
      <c r="AF8" s="8"/>
      <c r="AG8" s="8"/>
      <c r="AH8" s="8"/>
    </row>
    <row r="9" spans="1:34" s="63" customFormat="1" ht="13" x14ac:dyDescent="0.35">
      <c r="A9" s="8"/>
      <c r="B9" s="1622"/>
      <c r="C9" s="8"/>
      <c r="D9" s="991"/>
      <c r="E9" s="344" t="s">
        <v>459</v>
      </c>
      <c r="F9" s="358"/>
      <c r="G9" s="1285" t="s">
        <v>687</v>
      </c>
      <c r="H9" s="813"/>
      <c r="I9" s="8"/>
      <c r="J9" s="1351" t="s">
        <v>168</v>
      </c>
      <c r="K9" s="1354">
        <v>4</v>
      </c>
      <c r="L9" s="1351"/>
      <c r="M9" s="8"/>
      <c r="N9" s="1351"/>
      <c r="O9" s="1351"/>
      <c r="P9" s="8"/>
      <c r="Q9" s="8"/>
      <c r="R9" s="8"/>
      <c r="S9" s="8"/>
      <c r="T9" s="8"/>
      <c r="U9" s="8"/>
      <c r="V9" s="8"/>
      <c r="W9" s="8"/>
      <c r="X9" s="8"/>
      <c r="Y9" s="8"/>
      <c r="Z9" s="8"/>
      <c r="AA9" s="8"/>
      <c r="AB9" s="8"/>
      <c r="AC9" s="8"/>
      <c r="AD9" s="8"/>
      <c r="AE9" s="8"/>
      <c r="AF9" s="8"/>
      <c r="AG9" s="8"/>
      <c r="AH9" s="8"/>
    </row>
    <row r="10" spans="1:34" s="63" customFormat="1" ht="13" x14ac:dyDescent="0.35">
      <c r="A10" s="8"/>
      <c r="B10" s="1622"/>
      <c r="C10" s="8"/>
      <c r="D10" s="991"/>
      <c r="E10" s="344" t="s">
        <v>461</v>
      </c>
      <c r="F10" s="358"/>
      <c r="G10" s="1285" t="s">
        <v>687</v>
      </c>
      <c r="H10" s="813"/>
      <c r="I10" s="8"/>
      <c r="J10" s="1351" t="s">
        <v>173</v>
      </c>
      <c r="K10" s="1354" t="s">
        <v>463</v>
      </c>
      <c r="L10" s="1351"/>
      <c r="M10" s="8"/>
      <c r="N10" s="1351"/>
      <c r="O10" s="1351"/>
      <c r="P10" s="8"/>
      <c r="Q10" s="8"/>
      <c r="R10" s="8"/>
      <c r="S10" s="8"/>
      <c r="T10" s="8"/>
      <c r="U10" s="8"/>
      <c r="V10" s="8"/>
      <c r="W10" s="8"/>
      <c r="X10" s="8"/>
      <c r="Y10" s="8"/>
      <c r="Z10" s="8"/>
      <c r="AA10" s="8"/>
      <c r="AB10" s="8"/>
      <c r="AC10" s="8"/>
      <c r="AD10" s="8"/>
      <c r="AE10" s="8"/>
      <c r="AF10" s="8"/>
      <c r="AG10" s="8"/>
      <c r="AH10" s="8"/>
    </row>
    <row r="11" spans="1:34" s="63" customFormat="1" ht="13" x14ac:dyDescent="0.35">
      <c r="A11" s="8"/>
      <c r="B11" s="1622"/>
      <c r="C11" s="8"/>
      <c r="D11" s="991"/>
      <c r="E11" s="344" t="s">
        <v>464</v>
      </c>
      <c r="F11" s="358"/>
      <c r="G11" s="1285" t="s">
        <v>687</v>
      </c>
      <c r="H11" s="813"/>
      <c r="I11" s="8"/>
      <c r="J11" s="1351"/>
      <c r="K11" s="1351"/>
      <c r="L11" s="1351"/>
      <c r="M11" s="8"/>
      <c r="N11" s="1351"/>
      <c r="O11" s="1351"/>
      <c r="P11" s="8"/>
      <c r="Q11" s="8"/>
      <c r="R11" s="8"/>
      <c r="S11" s="8"/>
      <c r="T11" s="8"/>
      <c r="U11" s="8"/>
      <c r="V11" s="8"/>
      <c r="W11" s="8"/>
      <c r="X11" s="8"/>
      <c r="Y11" s="8"/>
      <c r="Z11" s="8"/>
      <c r="AA11" s="8"/>
      <c r="AB11" s="8"/>
      <c r="AC11" s="8"/>
      <c r="AD11" s="8"/>
      <c r="AE11" s="8"/>
      <c r="AF11" s="8"/>
      <c r="AG11" s="8"/>
      <c r="AH11" s="8"/>
    </row>
    <row r="12" spans="1:34" s="63" customFormat="1" ht="13" x14ac:dyDescent="0.35">
      <c r="A12" s="8"/>
      <c r="B12" s="1622"/>
      <c r="C12" s="8"/>
      <c r="D12" s="991"/>
      <c r="E12" s="344" t="s">
        <v>980</v>
      </c>
      <c r="F12" s="358"/>
      <c r="G12" s="1285" t="s">
        <v>687</v>
      </c>
      <c r="H12" s="813"/>
      <c r="I12" s="8"/>
      <c r="J12" s="1351"/>
      <c r="K12" s="1351"/>
      <c r="L12" s="1351"/>
      <c r="M12" s="8"/>
      <c r="N12" s="1351"/>
      <c r="O12" s="1351"/>
      <c r="P12" s="8"/>
      <c r="Q12" s="8"/>
      <c r="R12" s="8"/>
      <c r="S12" s="8"/>
      <c r="T12" s="8"/>
      <c r="U12" s="8"/>
      <c r="V12" s="8"/>
      <c r="W12" s="8"/>
      <c r="X12" s="8"/>
      <c r="Y12" s="8"/>
      <c r="Z12" s="8"/>
      <c r="AA12" s="8"/>
      <c r="AB12" s="8"/>
      <c r="AC12" s="8"/>
      <c r="AD12" s="8"/>
      <c r="AE12" s="8"/>
      <c r="AF12" s="8"/>
      <c r="AG12" s="8"/>
      <c r="AH12" s="8"/>
    </row>
    <row r="13" spans="1:34" s="63" customFormat="1" ht="13" x14ac:dyDescent="0.35">
      <c r="A13" s="8"/>
      <c r="B13" s="1622"/>
      <c r="C13" s="8"/>
      <c r="D13" s="991"/>
      <c r="E13" s="344" t="s">
        <v>458</v>
      </c>
      <c r="F13" s="358"/>
      <c r="G13" s="1285" t="s">
        <v>687</v>
      </c>
      <c r="H13" s="813"/>
      <c r="I13" s="8"/>
      <c r="J13" s="1351"/>
      <c r="K13" s="1351"/>
      <c r="L13" s="1351"/>
      <c r="M13" s="8"/>
      <c r="N13" s="1351"/>
      <c r="O13" s="1351"/>
      <c r="P13" s="8"/>
      <c r="Q13" s="8"/>
      <c r="R13" s="8"/>
      <c r="S13" s="8"/>
      <c r="T13" s="8"/>
      <c r="U13" s="8"/>
      <c r="V13" s="8"/>
      <c r="W13" s="8"/>
      <c r="X13" s="8"/>
      <c r="Y13" s="8"/>
      <c r="Z13" s="8"/>
      <c r="AA13" s="8"/>
      <c r="AB13" s="8"/>
      <c r="AC13" s="8"/>
      <c r="AD13" s="8"/>
      <c r="AE13" s="8"/>
      <c r="AF13" s="8"/>
      <c r="AG13" s="8"/>
      <c r="AH13" s="8"/>
    </row>
    <row r="14" spans="1:34" s="63" customFormat="1" ht="13" x14ac:dyDescent="0.35">
      <c r="A14" s="8"/>
      <c r="B14" s="1622"/>
      <c r="C14" s="8"/>
      <c r="D14" s="991"/>
      <c r="E14" s="344" t="s">
        <v>460</v>
      </c>
      <c r="F14" s="358"/>
      <c r="G14" s="1285" t="s">
        <v>687</v>
      </c>
      <c r="H14" s="813"/>
      <c r="I14" s="8"/>
      <c r="J14" s="1351"/>
      <c r="K14" s="1351"/>
      <c r="L14" s="1351"/>
      <c r="M14" s="8"/>
      <c r="N14" s="1351"/>
      <c r="O14" s="1351"/>
      <c r="P14" s="8"/>
      <c r="Q14" s="8"/>
      <c r="R14" s="8"/>
      <c r="S14" s="8"/>
      <c r="T14" s="8"/>
      <c r="U14" s="8"/>
      <c r="V14" s="8"/>
      <c r="W14" s="8"/>
      <c r="X14" s="8"/>
      <c r="Y14" s="8"/>
      <c r="Z14" s="8"/>
      <c r="AA14" s="8"/>
      <c r="AB14" s="8"/>
      <c r="AC14" s="8"/>
      <c r="AD14" s="8"/>
      <c r="AE14" s="8"/>
      <c r="AF14" s="8"/>
      <c r="AG14" s="8"/>
      <c r="AH14" s="8"/>
    </row>
    <row r="15" spans="1:34" s="63" customFormat="1" ht="13" x14ac:dyDescent="0.35">
      <c r="A15" s="8"/>
      <c r="B15" s="1622"/>
      <c r="C15" s="8"/>
      <c r="D15" s="991"/>
      <c r="E15" s="344" t="s">
        <v>462</v>
      </c>
      <c r="F15" s="358"/>
      <c r="G15" s="1285" t="s">
        <v>687</v>
      </c>
      <c r="H15" s="813"/>
      <c r="I15" s="8"/>
      <c r="J15" s="1351"/>
      <c r="K15" s="1351"/>
      <c r="L15" s="1351"/>
      <c r="M15" s="8"/>
      <c r="N15" s="1351"/>
      <c r="O15" s="1351"/>
      <c r="P15" s="8"/>
      <c r="Q15" s="8"/>
      <c r="R15" s="8"/>
      <c r="S15" s="8"/>
      <c r="T15" s="8"/>
      <c r="U15" s="8"/>
      <c r="V15" s="8"/>
      <c r="W15" s="8"/>
      <c r="X15" s="8"/>
      <c r="Y15" s="8"/>
      <c r="Z15" s="8"/>
      <c r="AA15" s="8"/>
      <c r="AB15" s="8"/>
      <c r="AC15" s="8"/>
      <c r="AD15" s="8"/>
      <c r="AE15" s="8"/>
      <c r="AF15" s="8"/>
      <c r="AG15" s="8"/>
      <c r="AH15" s="8"/>
    </row>
    <row r="16" spans="1:34" s="63" customFormat="1" ht="13" x14ac:dyDescent="0.35">
      <c r="A16" s="8"/>
      <c r="B16" s="1622"/>
      <c r="C16" s="8"/>
      <c r="D16" s="991"/>
      <c r="E16" s="368" t="s">
        <v>189</v>
      </c>
      <c r="F16" s="358"/>
      <c r="G16" s="1285" t="s">
        <v>687</v>
      </c>
      <c r="H16" s="813"/>
      <c r="I16" s="8"/>
      <c r="J16" s="1351"/>
      <c r="K16" s="1351"/>
      <c r="L16" s="1351"/>
      <c r="M16" s="8"/>
      <c r="N16" s="1351"/>
      <c r="O16" s="1351"/>
      <c r="P16" s="8"/>
      <c r="Q16" s="8"/>
      <c r="R16" s="8"/>
      <c r="S16" s="8"/>
      <c r="T16" s="8"/>
      <c r="U16" s="8"/>
      <c r="V16" s="8"/>
      <c r="W16" s="8"/>
      <c r="X16" s="8"/>
      <c r="Y16" s="8"/>
      <c r="Z16" s="8"/>
      <c r="AA16" s="8"/>
      <c r="AB16" s="8"/>
      <c r="AC16" s="8"/>
      <c r="AD16" s="8"/>
      <c r="AE16" s="8"/>
      <c r="AF16" s="8"/>
      <c r="AG16" s="8"/>
      <c r="AH16" s="8"/>
    </row>
    <row r="17" spans="1:34" s="63" customFormat="1" ht="13.5" thickBot="1" x14ac:dyDescent="0.4">
      <c r="A17" s="8"/>
      <c r="B17" s="1622"/>
      <c r="C17" s="8"/>
      <c r="D17" s="991"/>
      <c r="E17" s="344"/>
      <c r="F17" s="12"/>
      <c r="G17" s="11"/>
      <c r="H17" s="813"/>
      <c r="I17" s="8"/>
      <c r="J17" s="1351"/>
      <c r="K17" s="1351"/>
      <c r="L17" s="1351"/>
      <c r="M17" s="8"/>
      <c r="N17" s="1351"/>
      <c r="O17" s="1351"/>
      <c r="P17" s="8"/>
      <c r="Q17" s="8"/>
      <c r="R17" s="8"/>
      <c r="S17" s="8"/>
      <c r="T17" s="8"/>
      <c r="U17" s="8"/>
      <c r="V17" s="8"/>
      <c r="W17" s="8"/>
      <c r="X17" s="8"/>
      <c r="Y17" s="8"/>
      <c r="Z17" s="8"/>
      <c r="AA17" s="8"/>
      <c r="AB17" s="8"/>
      <c r="AC17" s="8"/>
      <c r="AD17" s="8"/>
      <c r="AE17" s="8"/>
      <c r="AF17" s="8"/>
      <c r="AG17" s="8"/>
      <c r="AH17" s="8"/>
    </row>
    <row r="18" spans="1:34" s="63" customFormat="1" ht="13.5" thickBot="1" x14ac:dyDescent="0.4">
      <c r="A18" s="8"/>
      <c r="B18" s="1622"/>
      <c r="C18" s="8"/>
      <c r="D18" s="991"/>
      <c r="E18" s="816" t="s">
        <v>465</v>
      </c>
      <c r="F18" s="377">
        <f>(COUNTIF(F7:F16, "Yes"))/(ROWS(F7:F16))</f>
        <v>0</v>
      </c>
      <c r="G18" s="11"/>
      <c r="H18" s="813"/>
      <c r="I18" s="8"/>
      <c r="J18" s="1351"/>
      <c r="K18" s="1351"/>
      <c r="L18" s="1351"/>
      <c r="M18" s="8"/>
      <c r="N18" s="1351"/>
      <c r="O18" s="1351"/>
      <c r="P18" s="8"/>
      <c r="Q18" s="8"/>
      <c r="R18" s="8"/>
      <c r="S18" s="8"/>
      <c r="T18" s="8"/>
      <c r="U18" s="8"/>
      <c r="V18" s="8"/>
      <c r="W18" s="8"/>
      <c r="X18" s="8"/>
      <c r="Y18" s="8"/>
      <c r="Z18" s="8"/>
      <c r="AA18" s="8"/>
      <c r="AB18" s="8"/>
      <c r="AC18" s="8"/>
      <c r="AD18" s="8"/>
      <c r="AE18" s="8"/>
      <c r="AF18" s="8"/>
      <c r="AG18" s="8"/>
      <c r="AH18" s="8"/>
    </row>
    <row r="19" spans="1:34" s="63" customFormat="1" ht="13" x14ac:dyDescent="0.35">
      <c r="A19" s="8"/>
      <c r="B19" s="1622"/>
      <c r="C19" s="8"/>
      <c r="D19" s="1355"/>
      <c r="E19" s="947"/>
      <c r="F19" s="819"/>
      <c r="G19" s="947"/>
      <c r="H19" s="841"/>
      <c r="I19" s="8"/>
      <c r="J19" s="1351"/>
      <c r="K19" s="1351"/>
      <c r="L19" s="1351"/>
      <c r="M19" s="8"/>
      <c r="N19" s="1351"/>
      <c r="O19" s="1351"/>
      <c r="P19" s="8"/>
      <c r="Q19" s="8"/>
      <c r="R19" s="8"/>
      <c r="S19" s="8"/>
      <c r="T19" s="8"/>
      <c r="U19" s="8"/>
      <c r="V19" s="8"/>
      <c r="W19" s="8"/>
      <c r="X19" s="8"/>
      <c r="Y19" s="8"/>
      <c r="Z19" s="8"/>
      <c r="AA19" s="8"/>
      <c r="AB19" s="8"/>
      <c r="AC19" s="8"/>
      <c r="AD19" s="8"/>
      <c r="AE19" s="8"/>
      <c r="AF19" s="8"/>
      <c r="AG19" s="8"/>
      <c r="AH19" s="8"/>
    </row>
    <row r="20" spans="1:34" s="63" customFormat="1" ht="13" x14ac:dyDescent="0.35">
      <c r="A20" s="8"/>
      <c r="B20" s="8"/>
      <c r="C20" s="8"/>
      <c r="D20" s="8"/>
      <c r="E20" s="8"/>
      <c r="F20" s="64"/>
      <c r="G20" s="70"/>
      <c r="H20" s="8"/>
      <c r="I20" s="8"/>
      <c r="J20" s="8"/>
      <c r="K20" s="8"/>
      <c r="L20" s="8"/>
      <c r="M20" s="8"/>
      <c r="N20" s="8"/>
      <c r="O20" s="8"/>
      <c r="P20" s="8"/>
      <c r="Q20" s="8"/>
      <c r="R20" s="8"/>
      <c r="S20" s="8"/>
      <c r="T20" s="8"/>
      <c r="U20" s="8"/>
      <c r="V20" s="8"/>
      <c r="W20" s="8"/>
      <c r="X20" s="8"/>
      <c r="Y20" s="8"/>
      <c r="Z20" s="8"/>
      <c r="AA20" s="8"/>
      <c r="AB20" s="8"/>
      <c r="AC20" s="8"/>
      <c r="AD20" s="8"/>
      <c r="AE20" s="8"/>
      <c r="AF20" s="8"/>
      <c r="AG20" s="8"/>
      <c r="AH20" s="8"/>
    </row>
    <row r="21" spans="1:34" s="63" customFormat="1" ht="13" x14ac:dyDescent="0.35">
      <c r="A21" s="8"/>
      <c r="B21" s="1622" t="s">
        <v>1219</v>
      </c>
      <c r="C21" s="8"/>
      <c r="D21" s="1636" t="s">
        <v>866</v>
      </c>
      <c r="E21" s="1637"/>
      <c r="F21" s="1637"/>
      <c r="G21" s="1637"/>
      <c r="H21" s="1638"/>
      <c r="I21" s="8"/>
      <c r="J21" s="1349" t="s">
        <v>466</v>
      </c>
      <c r="K21" s="1350"/>
      <c r="L21" s="1350"/>
      <c r="M21" s="8"/>
      <c r="N21" s="1351"/>
      <c r="O21" s="1351"/>
      <c r="P21" s="8"/>
      <c r="Q21" s="8"/>
      <c r="R21" s="8"/>
      <c r="S21" s="8"/>
      <c r="T21" s="8"/>
      <c r="U21" s="8"/>
      <c r="V21" s="8"/>
      <c r="W21" s="8"/>
      <c r="X21" s="8"/>
      <c r="Y21" s="8"/>
      <c r="Z21" s="8"/>
      <c r="AA21" s="8"/>
      <c r="AB21" s="8"/>
      <c r="AC21" s="8"/>
      <c r="AD21" s="8"/>
      <c r="AE21" s="8"/>
      <c r="AF21" s="8"/>
      <c r="AG21" s="8"/>
      <c r="AH21" s="8"/>
    </row>
    <row r="22" spans="1:34" s="63" customFormat="1" ht="13" x14ac:dyDescent="0.35">
      <c r="A22" s="8"/>
      <c r="B22" s="1700"/>
      <c r="C22" s="8"/>
      <c r="D22" s="1352"/>
      <c r="E22" s="809"/>
      <c r="F22" s="810"/>
      <c r="G22" s="515"/>
      <c r="H22" s="823"/>
      <c r="I22" s="8"/>
      <c r="J22" s="1351" t="s">
        <v>916</v>
      </c>
      <c r="K22" s="1351">
        <v>0</v>
      </c>
      <c r="L22" s="1356">
        <v>0</v>
      </c>
      <c r="M22" s="8"/>
      <c r="N22" s="1351"/>
      <c r="O22" s="1351"/>
      <c r="P22" s="8"/>
      <c r="Q22" s="8"/>
      <c r="R22" s="8"/>
      <c r="S22" s="8"/>
      <c r="T22" s="8"/>
      <c r="U22" s="8"/>
      <c r="V22" s="8"/>
      <c r="W22" s="8"/>
      <c r="X22" s="8"/>
      <c r="Y22" s="8"/>
      <c r="Z22" s="8"/>
      <c r="AA22" s="8"/>
      <c r="AB22" s="8"/>
      <c r="AC22" s="8"/>
      <c r="AD22" s="8"/>
      <c r="AE22" s="8"/>
      <c r="AF22" s="8"/>
      <c r="AG22" s="8"/>
      <c r="AH22" s="8"/>
    </row>
    <row r="23" spans="1:34" s="63" customFormat="1" ht="13" x14ac:dyDescent="0.35">
      <c r="A23" s="8"/>
      <c r="B23" s="1700"/>
      <c r="C23" s="8"/>
      <c r="D23" s="991"/>
      <c r="E23" s="344" t="s">
        <v>467</v>
      </c>
      <c r="F23" s="375"/>
      <c r="G23" s="1357" t="s">
        <v>687</v>
      </c>
      <c r="H23" s="813"/>
      <c r="I23" s="8"/>
      <c r="J23" s="1351" t="s">
        <v>868</v>
      </c>
      <c r="K23" s="1351">
        <v>1</v>
      </c>
      <c r="L23" s="1356">
        <v>0.33</v>
      </c>
      <c r="M23" s="8"/>
      <c r="N23" s="1351"/>
      <c r="O23" s="1351"/>
      <c r="P23" s="8"/>
      <c r="Q23" s="8"/>
      <c r="R23" s="8"/>
      <c r="S23" s="8"/>
      <c r="T23" s="8"/>
      <c r="U23" s="8"/>
      <c r="V23" s="8"/>
      <c r="W23" s="8"/>
      <c r="X23" s="8"/>
      <c r="Y23" s="8"/>
      <c r="Z23" s="8"/>
      <c r="AA23" s="8"/>
      <c r="AB23" s="8"/>
      <c r="AC23" s="8"/>
      <c r="AD23" s="8"/>
      <c r="AE23" s="8"/>
      <c r="AF23" s="8"/>
      <c r="AG23" s="8"/>
      <c r="AH23" s="8"/>
    </row>
    <row r="24" spans="1:34" s="63" customFormat="1" ht="13" x14ac:dyDescent="0.35">
      <c r="A24" s="8"/>
      <c r="B24" s="1700"/>
      <c r="C24" s="8"/>
      <c r="D24" s="991"/>
      <c r="E24" s="344" t="s">
        <v>915</v>
      </c>
      <c r="F24" s="313" t="str">
        <f>IFERROR(VLOOKUP(23:23,Passive_Functionality_Table,2,FALSE)/MAX(Passive_Functionality_Table),"")</f>
        <v/>
      </c>
      <c r="G24" s="925"/>
      <c r="H24" s="813"/>
      <c r="I24" s="8"/>
      <c r="J24" s="1351" t="s">
        <v>869</v>
      </c>
      <c r="K24" s="1351">
        <v>2</v>
      </c>
      <c r="L24" s="1356">
        <v>0.66</v>
      </c>
      <c r="M24" s="8"/>
      <c r="N24" s="1351"/>
      <c r="O24" s="1351"/>
      <c r="P24" s="8"/>
      <c r="Q24" s="8"/>
      <c r="R24" s="8"/>
      <c r="S24" s="8"/>
      <c r="T24" s="8"/>
      <c r="U24" s="8"/>
      <c r="V24" s="8"/>
      <c r="W24" s="8"/>
      <c r="X24" s="8"/>
      <c r="Y24" s="8"/>
      <c r="Z24" s="8"/>
      <c r="AA24" s="8"/>
      <c r="AB24" s="8"/>
      <c r="AC24" s="8"/>
      <c r="AD24" s="8"/>
      <c r="AE24" s="8"/>
      <c r="AF24" s="8"/>
      <c r="AG24" s="8"/>
      <c r="AH24" s="8"/>
    </row>
    <row r="25" spans="1:34" s="63" customFormat="1" ht="13" x14ac:dyDescent="0.35">
      <c r="A25" s="8"/>
      <c r="B25" s="1700"/>
      <c r="C25" s="8"/>
      <c r="D25" s="991"/>
      <c r="E25" s="925"/>
      <c r="F25" s="939"/>
      <c r="G25" s="583"/>
      <c r="H25" s="813"/>
      <c r="I25" s="8"/>
      <c r="J25" s="1351" t="s">
        <v>870</v>
      </c>
      <c r="K25" s="1351">
        <v>3</v>
      </c>
      <c r="L25" s="1356">
        <v>1</v>
      </c>
      <c r="M25" s="8"/>
      <c r="N25" s="1351"/>
      <c r="O25" s="1351"/>
      <c r="P25" s="8"/>
      <c r="Q25" s="8"/>
      <c r="R25" s="8"/>
      <c r="S25" s="8"/>
      <c r="T25" s="8"/>
      <c r="U25" s="8"/>
      <c r="V25" s="8"/>
      <c r="W25" s="8"/>
      <c r="X25" s="8"/>
      <c r="Y25" s="8"/>
      <c r="Z25" s="8"/>
      <c r="AA25" s="8"/>
      <c r="AB25" s="8"/>
      <c r="AC25" s="8"/>
      <c r="AD25" s="8"/>
      <c r="AE25" s="8"/>
      <c r="AF25" s="8"/>
      <c r="AG25" s="8"/>
      <c r="AH25" s="8"/>
    </row>
    <row r="26" spans="1:34" s="63" customFormat="1" ht="13" x14ac:dyDescent="0.35">
      <c r="A26" s="8"/>
      <c r="B26" s="1700"/>
      <c r="C26" s="8"/>
      <c r="D26" s="991"/>
      <c r="E26" s="344" t="s">
        <v>468</v>
      </c>
      <c r="F26" s="358"/>
      <c r="G26" s="1285" t="s">
        <v>687</v>
      </c>
      <c r="H26" s="813"/>
      <c r="I26" s="8"/>
      <c r="J26" s="1351"/>
      <c r="K26" s="1351"/>
      <c r="L26" s="1351"/>
      <c r="M26" s="8"/>
      <c r="N26" s="1351"/>
      <c r="O26" s="1351"/>
      <c r="P26" s="8"/>
      <c r="Q26" s="8"/>
      <c r="R26" s="8"/>
      <c r="S26" s="8"/>
      <c r="T26" s="8"/>
      <c r="U26" s="8"/>
      <c r="V26" s="8"/>
      <c r="W26" s="8"/>
      <c r="X26" s="8"/>
      <c r="Y26" s="8"/>
      <c r="Z26" s="8"/>
      <c r="AA26" s="8"/>
      <c r="AB26" s="8"/>
      <c r="AC26" s="8"/>
      <c r="AD26" s="8"/>
      <c r="AE26" s="8"/>
      <c r="AF26" s="8"/>
      <c r="AG26" s="8"/>
      <c r="AH26" s="8"/>
    </row>
    <row r="27" spans="1:34" s="63" customFormat="1" ht="13" x14ac:dyDescent="0.35">
      <c r="A27" s="8"/>
      <c r="B27" s="1700"/>
      <c r="C27" s="8"/>
      <c r="D27" s="991"/>
      <c r="E27" s="344" t="s">
        <v>917</v>
      </c>
      <c r="F27" s="313" t="str">
        <f>IFERROR(VLOOKUP(26:26,Backup_Power_Table,2,FALSE)/MAX(Backup_Power_Table),"")</f>
        <v/>
      </c>
      <c r="G27" s="925"/>
      <c r="H27" s="813"/>
      <c r="I27" s="8"/>
      <c r="J27" s="1349" t="s">
        <v>468</v>
      </c>
      <c r="K27" s="1350"/>
      <c r="L27" s="1350"/>
      <c r="M27" s="8"/>
      <c r="N27" s="1351"/>
      <c r="O27" s="1351"/>
      <c r="P27" s="8"/>
      <c r="Q27" s="8"/>
      <c r="R27" s="8"/>
      <c r="S27" s="8"/>
      <c r="T27" s="8"/>
      <c r="U27" s="8"/>
      <c r="V27" s="8"/>
      <c r="W27" s="8"/>
      <c r="X27" s="8"/>
      <c r="Y27" s="8"/>
      <c r="Z27" s="8"/>
      <c r="AA27" s="8"/>
      <c r="AB27" s="8"/>
      <c r="AC27" s="8"/>
      <c r="AD27" s="8"/>
      <c r="AE27" s="8"/>
      <c r="AF27" s="8"/>
      <c r="AG27" s="8"/>
      <c r="AH27" s="8"/>
    </row>
    <row r="28" spans="1:34" s="63" customFormat="1" ht="13.5" thickBot="1" x14ac:dyDescent="0.4">
      <c r="A28" s="8"/>
      <c r="B28" s="1700"/>
      <c r="C28" s="8"/>
      <c r="D28" s="991"/>
      <c r="E28" s="583"/>
      <c r="F28" s="12"/>
      <c r="G28" s="583"/>
      <c r="H28" s="813"/>
      <c r="I28" s="8"/>
      <c r="J28" s="1351" t="s">
        <v>867</v>
      </c>
      <c r="K28" s="1351">
        <v>0</v>
      </c>
      <c r="L28" s="1356">
        <v>0</v>
      </c>
      <c r="M28" s="8"/>
      <c r="N28" s="1351"/>
      <c r="O28" s="1351"/>
      <c r="P28" s="8"/>
      <c r="Q28" s="8"/>
      <c r="R28" s="8"/>
      <c r="S28" s="8"/>
      <c r="T28" s="8"/>
      <c r="U28" s="8"/>
      <c r="V28" s="8"/>
      <c r="W28" s="8"/>
      <c r="X28" s="8"/>
      <c r="Y28" s="8"/>
      <c r="Z28" s="8"/>
      <c r="AA28" s="8"/>
      <c r="AB28" s="8"/>
      <c r="AC28" s="8"/>
      <c r="AD28" s="8"/>
      <c r="AE28" s="8"/>
      <c r="AF28" s="8"/>
      <c r="AG28" s="8"/>
      <c r="AH28" s="8"/>
    </row>
    <row r="29" spans="1:34" s="63" customFormat="1" ht="13.5" thickBot="1" x14ac:dyDescent="0.4">
      <c r="A29" s="8"/>
      <c r="B29" s="1700"/>
      <c r="C29" s="8"/>
      <c r="D29" s="991"/>
      <c r="E29" s="816" t="s">
        <v>918</v>
      </c>
      <c r="F29" s="377">
        <f>IFERROR(AVERAGE(Passive_Functionality_Score,Backup_Power_Score),0)</f>
        <v>0</v>
      </c>
      <c r="G29" s="925"/>
      <c r="H29" s="813"/>
      <c r="I29" s="8"/>
      <c r="J29" s="1351" t="s">
        <v>872</v>
      </c>
      <c r="K29" s="1351">
        <v>1</v>
      </c>
      <c r="L29" s="1356">
        <v>0.5</v>
      </c>
      <c r="M29" s="8"/>
      <c r="N29" s="1351"/>
      <c r="O29" s="1351"/>
      <c r="P29" s="8"/>
      <c r="Q29" s="8"/>
      <c r="R29" s="8"/>
      <c r="S29" s="8"/>
      <c r="T29" s="8"/>
      <c r="U29" s="8"/>
      <c r="V29" s="8"/>
      <c r="W29" s="8"/>
      <c r="X29" s="8"/>
      <c r="Y29" s="8"/>
      <c r="Z29" s="8"/>
      <c r="AA29" s="8"/>
      <c r="AB29" s="8"/>
      <c r="AC29" s="8"/>
      <c r="AD29" s="8"/>
      <c r="AE29" s="8"/>
      <c r="AF29" s="8"/>
      <c r="AG29" s="8"/>
      <c r="AH29" s="8"/>
    </row>
    <row r="30" spans="1:34" s="63" customFormat="1" ht="13" x14ac:dyDescent="0.35">
      <c r="A30" s="8"/>
      <c r="B30" s="1700"/>
      <c r="C30" s="8"/>
      <c r="D30" s="991"/>
      <c r="E30" s="925"/>
      <c r="F30" s="1503"/>
      <c r="G30" s="583"/>
      <c r="H30" s="813"/>
      <c r="I30" s="8"/>
      <c r="J30" s="1351" t="s">
        <v>871</v>
      </c>
      <c r="K30" s="1351">
        <v>2</v>
      </c>
      <c r="L30" s="1356">
        <v>1</v>
      </c>
      <c r="M30" s="8"/>
      <c r="N30" s="1351"/>
      <c r="O30" s="1351"/>
      <c r="P30" s="8"/>
      <c r="Q30" s="8"/>
      <c r="R30" s="8"/>
      <c r="S30" s="8"/>
      <c r="T30" s="8"/>
      <c r="U30" s="8"/>
      <c r="V30" s="8"/>
      <c r="W30" s="8"/>
      <c r="X30" s="8"/>
      <c r="Y30" s="8"/>
      <c r="Z30" s="8"/>
      <c r="AA30" s="8"/>
      <c r="AB30" s="8"/>
      <c r="AC30" s="8"/>
      <c r="AD30" s="8"/>
      <c r="AE30" s="8"/>
      <c r="AF30" s="8"/>
      <c r="AG30" s="8"/>
      <c r="AH30" s="8"/>
    </row>
    <row r="31" spans="1:34" s="63" customFormat="1" ht="13" x14ac:dyDescent="0.35">
      <c r="A31" s="8"/>
      <c r="B31" s="1700"/>
      <c r="C31" s="8"/>
      <c r="D31" s="1355"/>
      <c r="E31" s="1118"/>
      <c r="F31" s="819"/>
      <c r="G31" s="526"/>
      <c r="H31" s="841"/>
      <c r="I31" s="8"/>
      <c r="J31" s="1351" t="s">
        <v>890</v>
      </c>
      <c r="K31" s="1351"/>
      <c r="L31" s="1356"/>
      <c r="M31" s="8"/>
      <c r="N31" s="1351"/>
      <c r="O31" s="1351"/>
      <c r="P31" s="8"/>
      <c r="Q31" s="8"/>
      <c r="R31" s="8"/>
      <c r="S31" s="8"/>
      <c r="T31" s="8"/>
      <c r="U31" s="8"/>
      <c r="V31" s="8"/>
      <c r="W31" s="8"/>
      <c r="X31" s="8"/>
      <c r="Y31" s="8"/>
      <c r="Z31" s="8"/>
      <c r="AA31" s="8"/>
      <c r="AB31" s="8"/>
      <c r="AC31" s="8"/>
      <c r="AD31" s="8"/>
      <c r="AE31" s="8"/>
      <c r="AF31" s="8"/>
      <c r="AG31" s="8"/>
      <c r="AH31" s="8"/>
    </row>
    <row r="32" spans="1:34" s="63" customFormat="1" ht="13" x14ac:dyDescent="0.35">
      <c r="A32" s="8"/>
      <c r="B32" s="8"/>
      <c r="C32" s="8"/>
      <c r="D32" s="8"/>
      <c r="E32" s="8"/>
      <c r="F32" s="64"/>
      <c r="G32" s="70"/>
      <c r="H32" s="8"/>
      <c r="I32" s="8"/>
      <c r="J32" s="8"/>
      <c r="K32" s="8"/>
      <c r="L32" s="8"/>
      <c r="M32" s="8"/>
      <c r="N32" s="8"/>
      <c r="O32" s="8"/>
      <c r="P32" s="8"/>
      <c r="Q32" s="8"/>
      <c r="R32" s="8"/>
      <c r="S32" s="8"/>
      <c r="T32" s="8"/>
      <c r="U32" s="8"/>
      <c r="V32" s="8"/>
      <c r="W32" s="8"/>
      <c r="X32" s="8"/>
      <c r="Y32" s="8"/>
      <c r="Z32" s="8"/>
      <c r="AA32" s="8"/>
      <c r="AB32" s="8"/>
      <c r="AC32" s="8"/>
      <c r="AD32" s="8"/>
      <c r="AE32" s="8"/>
      <c r="AF32" s="8"/>
      <c r="AG32" s="8"/>
      <c r="AH32" s="8"/>
    </row>
    <row r="33" spans="1:38" s="63" customFormat="1" ht="13" x14ac:dyDescent="0.35">
      <c r="A33" s="8"/>
      <c r="B33" s="1622" t="s">
        <v>469</v>
      </c>
      <c r="C33" s="8"/>
      <c r="D33" s="1659" t="s">
        <v>865</v>
      </c>
      <c r="E33" s="1661"/>
      <c r="F33" s="1661"/>
      <c r="G33" s="1661"/>
      <c r="H33" s="1662"/>
      <c r="I33" s="8"/>
      <c r="J33" s="1803" t="s">
        <v>470</v>
      </c>
      <c r="K33" s="1804"/>
      <c r="L33" s="1804"/>
      <c r="M33" s="8"/>
      <c r="N33" s="1351"/>
      <c r="O33" s="1351"/>
      <c r="P33" s="8"/>
      <c r="Q33" s="8"/>
      <c r="R33" s="8"/>
      <c r="S33" s="8"/>
      <c r="T33" s="8"/>
      <c r="U33" s="8"/>
      <c r="V33" s="8"/>
      <c r="W33" s="8"/>
      <c r="X33" s="8"/>
      <c r="Y33" s="8"/>
      <c r="Z33" s="8"/>
      <c r="AA33" s="8"/>
      <c r="AB33" s="8"/>
      <c r="AC33" s="8"/>
      <c r="AD33" s="8"/>
      <c r="AE33" s="8"/>
      <c r="AF33" s="8"/>
      <c r="AG33" s="8"/>
      <c r="AH33" s="8"/>
    </row>
    <row r="34" spans="1:38" s="63" customFormat="1" ht="13" x14ac:dyDescent="0.35">
      <c r="A34" s="8"/>
      <c r="B34" s="1700"/>
      <c r="C34" s="8"/>
      <c r="D34" s="1358"/>
      <c r="E34" s="1300"/>
      <c r="F34" s="1301"/>
      <c r="G34" s="1359"/>
      <c r="H34" s="1189"/>
      <c r="I34" s="8"/>
      <c r="J34" s="1351" t="s">
        <v>472</v>
      </c>
      <c r="K34" s="1360" t="s">
        <v>471</v>
      </c>
      <c r="L34" s="944"/>
      <c r="M34" s="8"/>
      <c r="N34" s="1351"/>
      <c r="O34" s="1351"/>
      <c r="P34" s="8"/>
      <c r="Q34" s="8"/>
      <c r="R34" s="8"/>
      <c r="S34" s="8"/>
      <c r="T34" s="8"/>
      <c r="U34" s="8"/>
      <c r="V34" s="8"/>
      <c r="W34" s="8"/>
      <c r="X34" s="8"/>
      <c r="Y34" s="8"/>
      <c r="Z34" s="8"/>
      <c r="AA34" s="8"/>
      <c r="AB34" s="8"/>
      <c r="AC34" s="8"/>
      <c r="AD34" s="8"/>
      <c r="AE34" s="8"/>
      <c r="AF34" s="8"/>
      <c r="AG34" s="8"/>
      <c r="AH34" s="8"/>
    </row>
    <row r="35" spans="1:38" s="63" customFormat="1" ht="13" x14ac:dyDescent="0.35">
      <c r="A35" s="8"/>
      <c r="B35" s="1700"/>
      <c r="C35" s="8"/>
      <c r="D35" s="1361"/>
      <c r="E35" s="1219" t="s">
        <v>470</v>
      </c>
      <c r="F35" s="5"/>
      <c r="G35" s="1264" t="s">
        <v>921</v>
      </c>
      <c r="H35" s="880"/>
      <c r="I35" s="8"/>
      <c r="J35" s="1351" t="s">
        <v>474</v>
      </c>
      <c r="K35" s="1360" t="s">
        <v>473</v>
      </c>
      <c r="L35" s="944"/>
      <c r="M35" s="8"/>
      <c r="N35" s="1351"/>
      <c r="O35" s="1351"/>
      <c r="P35" s="8"/>
      <c r="Q35" s="8"/>
      <c r="R35" s="8"/>
      <c r="S35" s="8"/>
      <c r="T35" s="8"/>
      <c r="U35" s="8"/>
      <c r="V35" s="8"/>
      <c r="W35" s="8"/>
      <c r="X35" s="8"/>
      <c r="Y35" s="8"/>
      <c r="Z35" s="8"/>
      <c r="AA35" s="8"/>
      <c r="AB35" s="8"/>
      <c r="AC35" s="8"/>
      <c r="AD35" s="8"/>
      <c r="AE35" s="8"/>
      <c r="AF35" s="8"/>
      <c r="AG35" s="8"/>
      <c r="AH35" s="8"/>
    </row>
    <row r="36" spans="1:38" s="63" customFormat="1" ht="13" x14ac:dyDescent="0.35">
      <c r="A36" s="8"/>
      <c r="B36" s="1700"/>
      <c r="C36" s="8"/>
      <c r="D36" s="1361"/>
      <c r="E36" s="1219" t="s">
        <v>475</v>
      </c>
      <c r="F36" s="5"/>
      <c r="G36" s="1362" t="s">
        <v>687</v>
      </c>
      <c r="H36" s="880"/>
      <c r="I36" s="8"/>
      <c r="J36" s="1351" t="s">
        <v>477</v>
      </c>
      <c r="K36" s="1360" t="s">
        <v>476</v>
      </c>
      <c r="L36" s="944"/>
      <c r="M36" s="8"/>
      <c r="N36" s="1351"/>
      <c r="O36" s="1351"/>
      <c r="P36" s="8"/>
      <c r="Q36" s="8"/>
      <c r="R36" s="8"/>
      <c r="S36" s="8"/>
      <c r="T36" s="8"/>
      <c r="U36" s="8"/>
      <c r="V36" s="8"/>
      <c r="W36" s="8"/>
      <c r="X36" s="8"/>
      <c r="Y36" s="8"/>
      <c r="Z36" s="8"/>
      <c r="AA36" s="8"/>
      <c r="AB36" s="8"/>
      <c r="AC36" s="8"/>
      <c r="AD36" s="8"/>
      <c r="AE36" s="8"/>
      <c r="AF36" s="8"/>
      <c r="AG36" s="8"/>
      <c r="AH36" s="8"/>
    </row>
    <row r="37" spans="1:38" s="63" customFormat="1" ht="13" x14ac:dyDescent="0.35">
      <c r="A37" s="8"/>
      <c r="B37" s="1700"/>
      <c r="C37" s="8"/>
      <c r="D37" s="1361"/>
      <c r="E37" s="1219"/>
      <c r="F37" s="790"/>
      <c r="G37" s="871"/>
      <c r="H37" s="880"/>
      <c r="I37" s="8"/>
      <c r="J37" s="1351" t="s">
        <v>479</v>
      </c>
      <c r="K37" s="1360" t="s">
        <v>478</v>
      </c>
      <c r="L37" s="944"/>
      <c r="M37" s="8"/>
      <c r="N37" s="1351"/>
      <c r="O37" s="1351"/>
      <c r="P37" s="8"/>
      <c r="Q37" s="8"/>
      <c r="R37" s="8"/>
      <c r="S37" s="8"/>
      <c r="T37" s="8"/>
      <c r="U37" s="8"/>
      <c r="V37" s="8"/>
      <c r="W37" s="8"/>
      <c r="X37" s="8"/>
      <c r="Y37" s="8"/>
      <c r="Z37" s="8"/>
      <c r="AA37" s="8"/>
      <c r="AB37" s="8"/>
      <c r="AC37" s="8"/>
      <c r="AD37" s="8"/>
      <c r="AE37" s="8"/>
      <c r="AF37" s="8"/>
      <c r="AG37" s="8"/>
      <c r="AH37" s="8"/>
    </row>
    <row r="38" spans="1:38" s="63" customFormat="1" ht="13" x14ac:dyDescent="0.35">
      <c r="A38" s="8"/>
      <c r="B38" s="1700"/>
      <c r="C38" s="8"/>
      <c r="D38" s="1361"/>
      <c r="E38" s="1363" t="s">
        <v>919</v>
      </c>
      <c r="F38" s="1314"/>
      <c r="G38" s="871"/>
      <c r="H38" s="880"/>
      <c r="I38" s="8"/>
      <c r="J38" s="1351"/>
      <c r="K38" s="1351"/>
      <c r="L38" s="1351"/>
      <c r="M38" s="8"/>
      <c r="N38" s="1351"/>
      <c r="O38" s="1351"/>
      <c r="P38" s="8"/>
      <c r="Q38" s="8"/>
      <c r="R38" s="8"/>
      <c r="S38" s="8"/>
      <c r="T38" s="8"/>
      <c r="U38" s="8"/>
      <c r="V38" s="8"/>
      <c r="W38" s="8"/>
      <c r="X38" s="8"/>
      <c r="Y38" s="8"/>
      <c r="Z38" s="8"/>
      <c r="AA38" s="8"/>
      <c r="AB38" s="8"/>
      <c r="AC38" s="8"/>
      <c r="AD38" s="8"/>
      <c r="AE38" s="8"/>
      <c r="AF38" s="8"/>
      <c r="AG38" s="8"/>
      <c r="AH38" s="8"/>
    </row>
    <row r="39" spans="1:38" s="63" customFormat="1" ht="13" x14ac:dyDescent="0.35">
      <c r="A39" s="8"/>
      <c r="B39" s="1700"/>
      <c r="C39" s="8"/>
      <c r="D39" s="1361"/>
      <c r="E39" s="1219" t="s">
        <v>436</v>
      </c>
      <c r="F39" s="5"/>
      <c r="G39" s="1264" t="s">
        <v>921</v>
      </c>
      <c r="H39" s="880"/>
      <c r="I39" s="8"/>
      <c r="J39" s="1351" t="s">
        <v>480</v>
      </c>
      <c r="K39" s="1351"/>
      <c r="L39" s="1351"/>
      <c r="M39" s="8"/>
      <c r="N39" s="1351"/>
      <c r="O39" s="1351"/>
      <c r="P39" s="8"/>
      <c r="Q39" s="8"/>
      <c r="R39" s="8"/>
      <c r="S39" s="8"/>
      <c r="T39" s="8"/>
      <c r="U39" s="8"/>
      <c r="V39" s="8"/>
      <c r="W39" s="8"/>
      <c r="X39" s="8"/>
      <c r="Y39" s="8"/>
      <c r="Z39" s="8"/>
      <c r="AA39" s="8"/>
      <c r="AB39" s="8"/>
      <c r="AC39" s="8"/>
      <c r="AD39" s="8"/>
      <c r="AE39" s="8"/>
      <c r="AF39" s="8"/>
      <c r="AG39" s="8"/>
      <c r="AH39" s="8"/>
    </row>
    <row r="40" spans="1:38" s="63" customFormat="1" ht="13" x14ac:dyDescent="0.35">
      <c r="A40" s="8"/>
      <c r="B40" s="1700"/>
      <c r="C40" s="8"/>
      <c r="D40" s="1361"/>
      <c r="E40" s="1219" t="s">
        <v>432</v>
      </c>
      <c r="F40" s="5"/>
      <c r="G40" s="1264" t="s">
        <v>921</v>
      </c>
      <c r="H40" s="880"/>
      <c r="I40" s="8"/>
      <c r="J40" s="1351"/>
      <c r="K40" s="1351"/>
      <c r="L40" s="1351"/>
      <c r="M40" s="8"/>
      <c r="N40" s="1351"/>
      <c r="O40" s="1351"/>
      <c r="P40" s="8"/>
      <c r="Q40" s="8"/>
      <c r="R40" s="8"/>
      <c r="S40" s="8"/>
      <c r="T40" s="8"/>
      <c r="U40" s="8"/>
      <c r="V40" s="8"/>
      <c r="W40" s="8"/>
      <c r="X40" s="8"/>
      <c r="Y40" s="8"/>
      <c r="Z40" s="8"/>
      <c r="AA40" s="8"/>
      <c r="AB40" s="8"/>
      <c r="AC40" s="8"/>
      <c r="AD40" s="8"/>
      <c r="AE40" s="8"/>
      <c r="AF40" s="8"/>
      <c r="AG40" s="8"/>
      <c r="AH40" s="8"/>
    </row>
    <row r="41" spans="1:38" s="63" customFormat="1" ht="13" x14ac:dyDescent="0.35">
      <c r="A41" s="8"/>
      <c r="B41" s="1700"/>
      <c r="C41" s="8"/>
      <c r="D41" s="1361"/>
      <c r="E41" s="1219" t="s">
        <v>920</v>
      </c>
      <c r="F41" s="5"/>
      <c r="G41" s="1264" t="s">
        <v>921</v>
      </c>
      <c r="H41" s="880"/>
      <c r="I41" s="8"/>
      <c r="J41" s="1351"/>
      <c r="K41" s="1351"/>
      <c r="L41" s="1351"/>
      <c r="M41" s="8"/>
      <c r="N41" s="1351"/>
      <c r="O41" s="1351"/>
      <c r="P41" s="8"/>
      <c r="Q41" s="8"/>
      <c r="R41" s="8"/>
      <c r="S41" s="8"/>
      <c r="T41" s="8"/>
      <c r="U41" s="8"/>
      <c r="V41" s="8"/>
      <c r="W41" s="8"/>
      <c r="X41" s="8"/>
      <c r="Y41" s="8"/>
      <c r="Z41" s="8"/>
      <c r="AA41" s="8"/>
      <c r="AB41" s="8"/>
      <c r="AC41" s="8"/>
      <c r="AD41" s="8"/>
      <c r="AE41" s="8"/>
      <c r="AF41" s="8"/>
      <c r="AG41" s="8"/>
      <c r="AH41" s="8"/>
    </row>
    <row r="42" spans="1:38" s="63" customFormat="1" ht="13" x14ac:dyDescent="0.35">
      <c r="A42" s="8"/>
      <c r="B42" s="1700"/>
      <c r="C42" s="8"/>
      <c r="D42" s="1361"/>
      <c r="E42" s="1219"/>
      <c r="F42" s="790"/>
      <c r="G42" s="871"/>
      <c r="H42" s="880"/>
      <c r="I42" s="8"/>
      <c r="J42" s="1351"/>
      <c r="K42" s="1351"/>
      <c r="L42" s="1351"/>
      <c r="M42" s="8"/>
      <c r="N42" s="1351"/>
      <c r="O42" s="1351"/>
      <c r="P42" s="8"/>
      <c r="Q42" s="8"/>
      <c r="R42" s="8"/>
      <c r="S42" s="8"/>
      <c r="T42" s="8"/>
      <c r="U42" s="8"/>
      <c r="V42" s="8"/>
      <c r="W42" s="8"/>
      <c r="X42" s="8"/>
      <c r="Y42" s="8"/>
      <c r="Z42" s="8"/>
      <c r="AA42" s="8"/>
      <c r="AB42" s="8"/>
      <c r="AC42" s="8"/>
      <c r="AD42" s="8"/>
      <c r="AE42" s="8"/>
      <c r="AF42" s="8"/>
      <c r="AG42" s="8"/>
      <c r="AH42" s="8"/>
    </row>
    <row r="43" spans="1:38" s="63" customFormat="1" ht="13" x14ac:dyDescent="0.35">
      <c r="A43" s="8"/>
      <c r="B43" s="1700"/>
      <c r="C43" s="8"/>
      <c r="D43" s="1364"/>
      <c r="E43" s="1365"/>
      <c r="F43" s="1314"/>
      <c r="G43" s="1366"/>
      <c r="H43" s="1275"/>
      <c r="I43" s="8"/>
      <c r="J43" s="1351"/>
      <c r="K43" s="1351"/>
      <c r="L43" s="1351"/>
      <c r="M43" s="8"/>
      <c r="N43" s="1351"/>
      <c r="O43" s="1351"/>
      <c r="P43" s="8"/>
      <c r="Q43" s="8"/>
      <c r="R43" s="8"/>
      <c r="S43" s="8"/>
      <c r="T43" s="8"/>
      <c r="U43" s="8"/>
      <c r="V43" s="8"/>
      <c r="W43" s="8"/>
      <c r="X43" s="8"/>
      <c r="Y43" s="8"/>
      <c r="Z43" s="8"/>
      <c r="AA43" s="8"/>
      <c r="AB43" s="8"/>
      <c r="AC43" s="8"/>
      <c r="AD43" s="8"/>
      <c r="AE43" s="8"/>
      <c r="AF43" s="8"/>
      <c r="AG43" s="8"/>
      <c r="AH43" s="8"/>
    </row>
    <row r="44" spans="1:38" customFormat="1" ht="14.5" x14ac:dyDescent="0.35">
      <c r="A44" s="484"/>
      <c r="B44" s="484"/>
      <c r="C44" s="484"/>
      <c r="D44" s="484"/>
      <c r="E44" s="1083"/>
      <c r="F44" s="1310"/>
      <c r="G44" s="1083"/>
      <c r="H44" s="1083"/>
      <c r="I44" s="1"/>
      <c r="J44" s="1083"/>
      <c r="K44" s="1083"/>
      <c r="L44" s="1083"/>
      <c r="M44" s="8"/>
      <c r="N44" s="1083"/>
      <c r="O44" s="1083"/>
      <c r="P44" s="1"/>
      <c r="Q44" s="8"/>
      <c r="R44" s="8"/>
      <c r="S44" s="1083"/>
      <c r="T44" s="1083"/>
      <c r="U44" s="1083"/>
      <c r="V44" s="1083"/>
      <c r="W44" s="1083"/>
      <c r="X44" s="1083"/>
      <c r="Y44" s="1083"/>
      <c r="Z44" s="1083"/>
      <c r="AA44" s="1083"/>
      <c r="AB44" s="1083"/>
      <c r="AC44" s="1083"/>
      <c r="AD44" s="1083"/>
      <c r="AE44" s="1083"/>
      <c r="AF44" s="1083"/>
      <c r="AG44" s="1083"/>
      <c r="AH44" s="1083"/>
      <c r="AI44" s="1083"/>
      <c r="AJ44" s="1083"/>
    </row>
    <row r="45" spans="1:38" customFormat="1" ht="15" customHeight="1" x14ac:dyDescent="0.35">
      <c r="A45" s="484"/>
      <c r="B45" s="1622" t="s">
        <v>976</v>
      </c>
      <c r="C45" s="484"/>
      <c r="D45" s="1656" t="s">
        <v>864</v>
      </c>
      <c r="E45" s="1657"/>
      <c r="F45" s="1657"/>
      <c r="G45" s="1657"/>
      <c r="H45" s="1658"/>
      <c r="I45" s="1"/>
      <c r="J45" s="751"/>
      <c r="K45" s="751"/>
      <c r="L45" s="751"/>
      <c r="M45" s="8"/>
      <c r="N45" s="751"/>
      <c r="O45" s="751"/>
      <c r="P45" s="1"/>
      <c r="Q45" s="8"/>
      <c r="R45" s="8"/>
      <c r="S45" s="484"/>
      <c r="T45" s="484"/>
      <c r="U45" s="484"/>
      <c r="V45" s="484"/>
      <c r="W45" s="484"/>
      <c r="X45" s="484"/>
      <c r="Y45" s="484"/>
      <c r="Z45" s="484"/>
      <c r="AA45" s="484"/>
      <c r="AB45" s="484"/>
      <c r="AC45" s="484"/>
      <c r="AD45" s="484"/>
      <c r="AE45" s="484"/>
      <c r="AF45" s="484"/>
      <c r="AG45" s="484"/>
      <c r="AH45" s="484"/>
      <c r="AI45" s="484"/>
      <c r="AJ45" s="484"/>
      <c r="AK45" s="484"/>
      <c r="AL45" s="484"/>
    </row>
    <row r="46" spans="1:38" customFormat="1" ht="14.5" x14ac:dyDescent="0.35">
      <c r="A46" s="484"/>
      <c r="B46" s="1708"/>
      <c r="C46" s="484"/>
      <c r="D46" s="771"/>
      <c r="E46" s="772"/>
      <c r="F46" s="773"/>
      <c r="G46" s="772"/>
      <c r="H46" s="1343"/>
      <c r="I46" s="1"/>
      <c r="J46" s="751"/>
      <c r="K46" s="751"/>
      <c r="L46" s="751"/>
      <c r="M46" s="8"/>
      <c r="N46" s="751"/>
      <c r="O46" s="751"/>
      <c r="P46" s="1"/>
      <c r="Q46" s="8"/>
      <c r="R46" s="8"/>
      <c r="S46" s="484"/>
      <c r="T46" s="484"/>
      <c r="U46" s="484"/>
      <c r="V46" s="484"/>
      <c r="W46" s="484"/>
      <c r="X46" s="484"/>
      <c r="Y46" s="484"/>
      <c r="Z46" s="484"/>
      <c r="AA46" s="484"/>
      <c r="AB46" s="484"/>
      <c r="AC46" s="484"/>
      <c r="AD46" s="484"/>
      <c r="AE46" s="484"/>
      <c r="AF46" s="484"/>
      <c r="AG46" s="484"/>
      <c r="AH46" s="484"/>
      <c r="AI46" s="484"/>
      <c r="AJ46" s="484"/>
      <c r="AK46" s="484"/>
      <c r="AL46" s="484"/>
    </row>
    <row r="47" spans="1:38" customFormat="1" ht="14.5" x14ac:dyDescent="0.35">
      <c r="A47" s="484"/>
      <c r="B47" s="1708"/>
      <c r="C47" s="484"/>
      <c r="D47" s="786"/>
      <c r="E47" s="1647"/>
      <c r="F47" s="1648"/>
      <c r="G47" s="1649"/>
      <c r="H47" s="1344"/>
      <c r="I47" s="1"/>
      <c r="J47" s="751"/>
      <c r="K47" s="751"/>
      <c r="L47" s="751"/>
      <c r="M47" s="8"/>
      <c r="N47" s="751"/>
      <c r="O47" s="751"/>
      <c r="P47" s="1"/>
      <c r="Q47" s="8"/>
      <c r="R47" s="8"/>
      <c r="S47" s="484"/>
      <c r="T47" s="484"/>
      <c r="U47" s="484"/>
      <c r="V47" s="484"/>
      <c r="W47" s="484"/>
      <c r="X47" s="484"/>
      <c r="Y47" s="484"/>
      <c r="Z47" s="484"/>
      <c r="AA47" s="484"/>
      <c r="AB47" s="484"/>
      <c r="AC47" s="484"/>
      <c r="AD47" s="484"/>
      <c r="AE47" s="484"/>
      <c r="AF47" s="484"/>
      <c r="AG47" s="484"/>
      <c r="AH47" s="484"/>
      <c r="AI47" s="484"/>
      <c r="AJ47" s="484"/>
      <c r="AK47" s="484"/>
      <c r="AL47" s="484"/>
    </row>
    <row r="48" spans="1:38" customFormat="1" ht="14.5" x14ac:dyDescent="0.35">
      <c r="A48" s="484"/>
      <c r="B48" s="1708"/>
      <c r="C48" s="484"/>
      <c r="D48" s="786"/>
      <c r="E48" s="1650"/>
      <c r="F48" s="1651"/>
      <c r="G48" s="1652"/>
      <c r="H48" s="1344"/>
      <c r="I48" s="1"/>
      <c r="J48" s="751"/>
      <c r="K48" s="751"/>
      <c r="L48" s="751"/>
      <c r="M48" s="8"/>
      <c r="N48" s="751"/>
      <c r="O48" s="751"/>
      <c r="P48" s="1"/>
      <c r="Q48" s="8"/>
      <c r="R48" s="8"/>
      <c r="S48" s="484"/>
      <c r="T48" s="484"/>
      <c r="U48" s="484"/>
      <c r="V48" s="484"/>
      <c r="W48" s="484"/>
      <c r="X48" s="484"/>
      <c r="Y48" s="484"/>
      <c r="Z48" s="484"/>
      <c r="AA48" s="484"/>
      <c r="AB48" s="484"/>
      <c r="AC48" s="484"/>
      <c r="AD48" s="484"/>
      <c r="AE48" s="484"/>
      <c r="AF48" s="484"/>
      <c r="AG48" s="484"/>
      <c r="AH48" s="484"/>
      <c r="AI48" s="484"/>
      <c r="AJ48" s="484"/>
      <c r="AK48" s="484"/>
      <c r="AL48" s="484"/>
    </row>
    <row r="49" spans="1:38" customFormat="1" ht="14.5" x14ac:dyDescent="0.35">
      <c r="A49" s="484"/>
      <c r="B49" s="1708"/>
      <c r="C49" s="484"/>
      <c r="D49" s="786"/>
      <c r="E49" s="1650"/>
      <c r="F49" s="1651"/>
      <c r="G49" s="1652"/>
      <c r="H49" s="1344"/>
      <c r="I49" s="1"/>
      <c r="J49" s="751"/>
      <c r="K49" s="751"/>
      <c r="L49" s="751"/>
      <c r="M49" s="8"/>
      <c r="N49" s="751"/>
      <c r="O49" s="751"/>
      <c r="P49" s="1"/>
      <c r="Q49" s="8"/>
      <c r="R49" s="8"/>
      <c r="S49" s="484"/>
      <c r="T49" s="484"/>
      <c r="U49" s="484"/>
      <c r="V49" s="484"/>
      <c r="W49" s="484"/>
      <c r="X49" s="484"/>
      <c r="Y49" s="484"/>
      <c r="Z49" s="484"/>
      <c r="AA49" s="484"/>
      <c r="AB49" s="484"/>
      <c r="AC49" s="484"/>
      <c r="AD49" s="484"/>
      <c r="AE49" s="484"/>
      <c r="AF49" s="484"/>
      <c r="AG49" s="484"/>
      <c r="AH49" s="484"/>
      <c r="AI49" s="484"/>
      <c r="AJ49" s="484"/>
      <c r="AK49" s="484"/>
      <c r="AL49" s="484"/>
    </row>
    <row r="50" spans="1:38" customFormat="1" ht="14.5" x14ac:dyDescent="0.35">
      <c r="A50" s="484"/>
      <c r="B50" s="1708"/>
      <c r="C50" s="484"/>
      <c r="D50" s="786"/>
      <c r="E50" s="1650"/>
      <c r="F50" s="1651"/>
      <c r="G50" s="1652"/>
      <c r="H50" s="1344"/>
      <c r="I50" s="1"/>
      <c r="J50" s="751"/>
      <c r="K50" s="751"/>
      <c r="L50" s="751"/>
      <c r="M50" s="8"/>
      <c r="N50" s="751"/>
      <c r="O50" s="751"/>
      <c r="P50" s="1"/>
      <c r="Q50" s="8"/>
      <c r="R50" s="8"/>
      <c r="S50" s="484"/>
      <c r="T50" s="484"/>
      <c r="U50" s="484"/>
      <c r="V50" s="484"/>
      <c r="W50" s="484"/>
      <c r="X50" s="484"/>
      <c r="Y50" s="484"/>
      <c r="Z50" s="484"/>
      <c r="AA50" s="484"/>
      <c r="AB50" s="484"/>
      <c r="AC50" s="484"/>
      <c r="AD50" s="484"/>
      <c r="AE50" s="484"/>
      <c r="AF50" s="484"/>
      <c r="AG50" s="484"/>
      <c r="AH50" s="484"/>
      <c r="AI50" s="484"/>
      <c r="AJ50" s="484"/>
      <c r="AK50" s="484"/>
      <c r="AL50" s="484"/>
    </row>
    <row r="51" spans="1:38" customFormat="1" ht="14.5" x14ac:dyDescent="0.35">
      <c r="A51" s="484"/>
      <c r="B51" s="1708"/>
      <c r="C51" s="484"/>
      <c r="D51" s="786"/>
      <c r="E51" s="1650"/>
      <c r="F51" s="1651"/>
      <c r="G51" s="1652"/>
      <c r="H51" s="1344"/>
      <c r="I51" s="1"/>
      <c r="J51" s="751"/>
      <c r="K51" s="751"/>
      <c r="L51" s="751"/>
      <c r="M51" s="8"/>
      <c r="N51" s="751"/>
      <c r="O51" s="751"/>
      <c r="P51" s="1"/>
      <c r="Q51" s="8"/>
      <c r="R51" s="8"/>
      <c r="S51" s="484"/>
      <c r="T51" s="484"/>
      <c r="U51" s="484"/>
      <c r="V51" s="484"/>
      <c r="W51" s="484"/>
      <c r="X51" s="484"/>
      <c r="Y51" s="484"/>
      <c r="Z51" s="484"/>
      <c r="AA51" s="484"/>
      <c r="AB51" s="484"/>
      <c r="AC51" s="484"/>
      <c r="AD51" s="484"/>
      <c r="AE51" s="484"/>
      <c r="AF51" s="484"/>
      <c r="AG51" s="484"/>
      <c r="AH51" s="484"/>
      <c r="AI51" s="484"/>
      <c r="AJ51" s="484"/>
      <c r="AK51" s="484"/>
      <c r="AL51" s="484"/>
    </row>
    <row r="52" spans="1:38" customFormat="1" ht="14.5" x14ac:dyDescent="0.35">
      <c r="A52" s="484"/>
      <c r="B52" s="1708"/>
      <c r="C52" s="484"/>
      <c r="D52" s="786"/>
      <c r="E52" s="1653"/>
      <c r="F52" s="1654"/>
      <c r="G52" s="1655"/>
      <c r="H52" s="1344"/>
      <c r="I52" s="1"/>
      <c r="J52" s="751"/>
      <c r="K52" s="751"/>
      <c r="L52" s="751"/>
      <c r="M52" s="8"/>
      <c r="N52" s="751"/>
      <c r="O52" s="751"/>
      <c r="P52" s="1"/>
      <c r="Q52" s="8"/>
      <c r="R52" s="8"/>
      <c r="S52" s="484"/>
      <c r="T52" s="484"/>
      <c r="U52" s="484"/>
      <c r="V52" s="484"/>
      <c r="W52" s="484"/>
      <c r="X52" s="484"/>
      <c r="Y52" s="484"/>
      <c r="Z52" s="484"/>
      <c r="AA52" s="484"/>
      <c r="AB52" s="484"/>
      <c r="AC52" s="484"/>
      <c r="AD52" s="484"/>
      <c r="AE52" s="484"/>
      <c r="AF52" s="484"/>
      <c r="AG52" s="484"/>
      <c r="AH52" s="484"/>
      <c r="AI52" s="484"/>
      <c r="AJ52" s="484"/>
      <c r="AK52" s="484"/>
      <c r="AL52" s="484"/>
    </row>
    <row r="53" spans="1:38" customFormat="1" ht="14.5" x14ac:dyDescent="0.35">
      <c r="A53" s="484"/>
      <c r="B53" s="1708"/>
      <c r="C53" s="484"/>
      <c r="D53" s="803"/>
      <c r="E53" s="782"/>
      <c r="F53" s="781"/>
      <c r="G53" s="782"/>
      <c r="H53" s="1345"/>
      <c r="I53" s="1"/>
      <c r="J53" s="751"/>
      <c r="K53" s="751"/>
      <c r="L53" s="751"/>
      <c r="M53" s="8"/>
      <c r="N53" s="751"/>
      <c r="O53" s="751"/>
      <c r="P53" s="1"/>
      <c r="Q53" s="8"/>
      <c r="R53" s="8"/>
      <c r="S53" s="484"/>
      <c r="T53" s="484"/>
      <c r="U53" s="484"/>
      <c r="V53" s="484"/>
      <c r="W53" s="484"/>
      <c r="X53" s="484"/>
      <c r="Y53" s="484"/>
      <c r="Z53" s="484"/>
      <c r="AA53" s="484"/>
      <c r="AB53" s="484"/>
      <c r="AC53" s="484"/>
      <c r="AD53" s="484"/>
      <c r="AE53" s="484"/>
      <c r="AF53" s="484"/>
      <c r="AG53" s="484"/>
      <c r="AH53" s="484"/>
      <c r="AI53" s="484"/>
      <c r="AJ53" s="484"/>
      <c r="AK53" s="484"/>
      <c r="AL53" s="484"/>
    </row>
    <row r="54" spans="1:38" ht="15.75" customHeight="1" x14ac:dyDescent="0.35">
      <c r="A54" s="7"/>
      <c r="B54" s="7"/>
      <c r="C54" s="7"/>
      <c r="D54" s="7"/>
      <c r="E54" s="7"/>
      <c r="F54" s="17"/>
      <c r="G54" s="490"/>
      <c r="H54" s="7"/>
      <c r="I54" s="7"/>
      <c r="J54" s="7"/>
      <c r="K54" s="7"/>
      <c r="L54" s="7"/>
      <c r="M54" s="8"/>
      <c r="N54" s="7"/>
      <c r="O54" s="7"/>
      <c r="P54" s="7"/>
      <c r="Q54" s="8"/>
      <c r="R54" s="8"/>
      <c r="S54" s="7"/>
      <c r="T54" s="7"/>
      <c r="U54" s="7"/>
      <c r="V54" s="7"/>
      <c r="W54" s="7"/>
      <c r="X54" s="7"/>
      <c r="Y54" s="7"/>
      <c r="Z54" s="7"/>
      <c r="AA54" s="7"/>
      <c r="AB54" s="7"/>
      <c r="AC54" s="7"/>
      <c r="AD54" s="7"/>
      <c r="AE54" s="7"/>
      <c r="AF54" s="7"/>
      <c r="AG54" s="7"/>
      <c r="AH54" s="7"/>
    </row>
    <row r="55" spans="1:38" ht="15.75" customHeight="1" x14ac:dyDescent="0.35">
      <c r="A55" s="7"/>
      <c r="B55" s="7"/>
      <c r="C55" s="7"/>
      <c r="D55" s="7"/>
      <c r="E55" s="7"/>
      <c r="F55" s="17"/>
      <c r="G55" s="490"/>
      <c r="H55" s="7"/>
      <c r="I55" s="7"/>
      <c r="J55" s="7"/>
      <c r="K55" s="7"/>
      <c r="L55" s="7"/>
      <c r="M55" s="7"/>
      <c r="N55" s="7"/>
      <c r="O55" s="7"/>
      <c r="P55" s="7"/>
      <c r="Q55" s="8"/>
      <c r="R55" s="8"/>
      <c r="S55" s="7"/>
      <c r="T55" s="7"/>
      <c r="U55" s="7"/>
      <c r="V55" s="7"/>
      <c r="W55" s="7"/>
      <c r="X55" s="7"/>
      <c r="Y55" s="7"/>
      <c r="Z55" s="7"/>
      <c r="AA55" s="7"/>
      <c r="AB55" s="7"/>
      <c r="AC55" s="7"/>
      <c r="AD55" s="7"/>
      <c r="AE55" s="7"/>
      <c r="AF55" s="7"/>
      <c r="AG55" s="7"/>
      <c r="AH55" s="7"/>
    </row>
    <row r="56" spans="1:38" ht="15.75" customHeight="1" x14ac:dyDescent="0.35">
      <c r="A56" s="7"/>
      <c r="B56" s="7"/>
      <c r="C56" s="7"/>
      <c r="D56" s="7"/>
      <c r="E56" s="7"/>
      <c r="F56" s="17"/>
      <c r="G56" s="490"/>
      <c r="H56" s="7"/>
      <c r="I56" s="7"/>
      <c r="J56" s="7"/>
      <c r="K56" s="7"/>
      <c r="L56" s="7"/>
      <c r="M56" s="7"/>
      <c r="N56" s="7"/>
      <c r="O56" s="7"/>
      <c r="P56" s="7"/>
      <c r="Q56" s="7"/>
      <c r="R56" s="7"/>
      <c r="S56" s="7"/>
      <c r="T56" s="7"/>
      <c r="U56" s="7"/>
      <c r="V56" s="7"/>
      <c r="W56" s="7"/>
      <c r="X56" s="7"/>
      <c r="Y56" s="7"/>
      <c r="Z56" s="7"/>
      <c r="AA56" s="7"/>
      <c r="AB56" s="7"/>
      <c r="AC56" s="7"/>
      <c r="AD56" s="7"/>
      <c r="AE56" s="7"/>
      <c r="AF56" s="7"/>
      <c r="AG56" s="7"/>
      <c r="AH56" s="7"/>
    </row>
    <row r="57" spans="1:38" ht="15.75" customHeight="1" x14ac:dyDescent="0.35">
      <c r="A57" s="7"/>
      <c r="B57" s="7"/>
      <c r="C57" s="7"/>
      <c r="D57" s="7"/>
      <c r="E57" s="7"/>
      <c r="F57" s="17"/>
      <c r="G57" s="490"/>
      <c r="H57" s="7"/>
      <c r="I57" s="7"/>
      <c r="J57" s="7"/>
      <c r="K57" s="7"/>
      <c r="L57" s="7"/>
      <c r="M57" s="7"/>
      <c r="N57" s="7"/>
      <c r="O57" s="7"/>
      <c r="P57" s="7"/>
      <c r="Q57" s="7"/>
      <c r="R57" s="7"/>
      <c r="S57" s="7"/>
      <c r="T57" s="7"/>
      <c r="U57" s="7"/>
      <c r="V57" s="7"/>
      <c r="W57" s="7"/>
      <c r="X57" s="7"/>
      <c r="Y57" s="7"/>
      <c r="Z57" s="7"/>
      <c r="AA57" s="7"/>
      <c r="AB57" s="7"/>
      <c r="AC57" s="7"/>
      <c r="AD57" s="7"/>
      <c r="AE57" s="7"/>
      <c r="AF57" s="7"/>
      <c r="AG57" s="7"/>
      <c r="AH57" s="7"/>
    </row>
    <row r="58" spans="1:38" ht="15.75" customHeight="1" x14ac:dyDescent="0.35">
      <c r="A58" s="7"/>
      <c r="B58" s="7"/>
      <c r="C58" s="7"/>
      <c r="D58" s="7"/>
      <c r="E58" s="7"/>
      <c r="F58" s="17"/>
      <c r="G58" s="490"/>
      <c r="H58" s="7"/>
      <c r="I58" s="7"/>
      <c r="J58" s="7"/>
      <c r="K58" s="7"/>
      <c r="L58" s="7"/>
      <c r="M58" s="7"/>
      <c r="N58" s="7"/>
      <c r="O58" s="7"/>
      <c r="P58" s="7"/>
      <c r="Q58" s="7"/>
      <c r="R58" s="7"/>
      <c r="S58" s="7"/>
      <c r="T58" s="7"/>
      <c r="U58" s="7"/>
      <c r="V58" s="7"/>
      <c r="W58" s="7"/>
      <c r="X58" s="7"/>
      <c r="Y58" s="7"/>
      <c r="Z58" s="7"/>
      <c r="AA58" s="7"/>
      <c r="AB58" s="7"/>
      <c r="AC58" s="7"/>
      <c r="AD58" s="7"/>
      <c r="AE58" s="7"/>
      <c r="AF58" s="7"/>
      <c r="AG58" s="7"/>
      <c r="AH58" s="7"/>
    </row>
    <row r="59" spans="1:38" ht="15.75" customHeight="1" x14ac:dyDescent="0.35">
      <c r="A59" s="7"/>
      <c r="B59" s="7"/>
      <c r="C59" s="7"/>
      <c r="D59" s="7"/>
      <c r="E59" s="7"/>
      <c r="F59" s="17"/>
      <c r="G59" s="490"/>
      <c r="H59" s="7"/>
      <c r="I59" s="7"/>
      <c r="J59" s="7"/>
      <c r="K59" s="7"/>
      <c r="L59" s="7"/>
      <c r="M59" s="7"/>
      <c r="N59" s="7"/>
      <c r="O59" s="7"/>
      <c r="P59" s="7"/>
      <c r="Q59" s="7"/>
      <c r="R59" s="7"/>
      <c r="S59" s="7"/>
      <c r="T59" s="7"/>
      <c r="U59" s="7"/>
      <c r="V59" s="7"/>
      <c r="W59" s="7"/>
      <c r="X59" s="7"/>
      <c r="Y59" s="7"/>
      <c r="Z59" s="7"/>
      <c r="AA59" s="7"/>
      <c r="AB59" s="7"/>
      <c r="AC59" s="7"/>
      <c r="AD59" s="7"/>
      <c r="AE59" s="7"/>
      <c r="AF59" s="7"/>
      <c r="AG59" s="7"/>
      <c r="AH59" s="7"/>
    </row>
    <row r="60" spans="1:38" ht="15.75" customHeight="1" x14ac:dyDescent="0.35">
      <c r="A60" s="7"/>
      <c r="B60" s="7"/>
      <c r="C60" s="7"/>
      <c r="D60" s="7"/>
      <c r="E60" s="7"/>
      <c r="F60" s="17"/>
      <c r="G60" s="490"/>
      <c r="H60" s="7"/>
      <c r="I60" s="7"/>
      <c r="J60" s="7"/>
      <c r="K60" s="7"/>
      <c r="L60" s="7"/>
      <c r="M60" s="7"/>
      <c r="N60" s="7"/>
      <c r="O60" s="7"/>
      <c r="P60" s="7"/>
      <c r="Q60" s="7"/>
      <c r="R60" s="7"/>
      <c r="S60" s="7"/>
      <c r="T60" s="7"/>
      <c r="U60" s="7"/>
      <c r="V60" s="7"/>
      <c r="W60" s="7"/>
      <c r="X60" s="7"/>
      <c r="Y60" s="7"/>
      <c r="Z60" s="7"/>
      <c r="AA60" s="7"/>
      <c r="AB60" s="7"/>
      <c r="AC60" s="7"/>
      <c r="AD60" s="7"/>
      <c r="AE60" s="7"/>
      <c r="AF60" s="7"/>
      <c r="AG60" s="7"/>
      <c r="AH60" s="7"/>
    </row>
    <row r="61" spans="1:38" ht="15.75" customHeight="1" x14ac:dyDescent="0.35">
      <c r="A61" s="7"/>
      <c r="B61" s="7"/>
      <c r="C61" s="7"/>
      <c r="D61" s="7"/>
      <c r="E61" s="7"/>
      <c r="F61" s="17"/>
      <c r="G61" s="490"/>
      <c r="H61" s="7"/>
      <c r="I61" s="7"/>
      <c r="J61" s="7"/>
      <c r="K61" s="7"/>
      <c r="L61" s="7"/>
      <c r="M61" s="7"/>
      <c r="N61" s="7"/>
      <c r="O61" s="7"/>
      <c r="P61" s="7"/>
      <c r="Q61" s="7"/>
      <c r="R61" s="7"/>
      <c r="S61" s="7"/>
      <c r="T61" s="7"/>
      <c r="U61" s="7"/>
      <c r="V61" s="7"/>
      <c r="W61" s="7"/>
      <c r="X61" s="7"/>
      <c r="Y61" s="7"/>
      <c r="Z61" s="7"/>
      <c r="AA61" s="7"/>
      <c r="AB61" s="7"/>
      <c r="AC61" s="7"/>
      <c r="AD61" s="7"/>
      <c r="AE61" s="7"/>
      <c r="AF61" s="7"/>
      <c r="AG61" s="7"/>
      <c r="AH61" s="7"/>
    </row>
    <row r="62" spans="1:38" ht="15.75" customHeight="1" x14ac:dyDescent="0.35">
      <c r="A62" s="7"/>
      <c r="B62" s="7"/>
      <c r="C62" s="7"/>
      <c r="D62" s="7"/>
      <c r="E62" s="7"/>
      <c r="F62" s="17"/>
      <c r="G62" s="490"/>
      <c r="H62" s="7"/>
      <c r="I62" s="7"/>
      <c r="J62" s="7"/>
      <c r="K62" s="7"/>
      <c r="L62" s="7"/>
      <c r="M62" s="7"/>
      <c r="N62" s="7"/>
      <c r="O62" s="7"/>
      <c r="P62" s="7"/>
      <c r="Q62" s="7"/>
      <c r="R62" s="7"/>
      <c r="S62" s="7"/>
      <c r="T62" s="7"/>
      <c r="U62" s="7"/>
      <c r="V62" s="7"/>
      <c r="W62" s="7"/>
      <c r="X62" s="7"/>
      <c r="Y62" s="7"/>
      <c r="Z62" s="7"/>
      <c r="AA62" s="7"/>
      <c r="AB62" s="7"/>
      <c r="AC62" s="7"/>
      <c r="AD62" s="7"/>
      <c r="AE62" s="7"/>
      <c r="AF62" s="7"/>
      <c r="AG62" s="7"/>
      <c r="AH62" s="7"/>
    </row>
    <row r="63" spans="1:38" ht="15.75" customHeight="1" x14ac:dyDescent="0.35">
      <c r="A63" s="7"/>
      <c r="B63" s="7"/>
      <c r="C63" s="7"/>
      <c r="D63" s="7"/>
      <c r="E63" s="7"/>
      <c r="F63" s="17"/>
      <c r="G63" s="490"/>
      <c r="H63" s="7"/>
      <c r="I63" s="7"/>
      <c r="J63" s="7"/>
      <c r="K63" s="7"/>
      <c r="L63" s="7"/>
      <c r="M63" s="7"/>
      <c r="N63" s="7"/>
      <c r="O63" s="7"/>
      <c r="P63" s="7"/>
      <c r="Q63" s="7"/>
      <c r="R63" s="7"/>
      <c r="S63" s="7"/>
      <c r="T63" s="7"/>
      <c r="U63" s="7"/>
      <c r="V63" s="7"/>
      <c r="W63" s="7"/>
      <c r="X63" s="7"/>
      <c r="Y63" s="7"/>
      <c r="Z63" s="7"/>
      <c r="AA63" s="7"/>
      <c r="AB63" s="7"/>
      <c r="AC63" s="7"/>
      <c r="AD63" s="7"/>
      <c r="AE63" s="7"/>
      <c r="AF63" s="7"/>
      <c r="AG63" s="7"/>
      <c r="AH63" s="7"/>
    </row>
    <row r="64" spans="1:38" ht="15.75" customHeight="1" x14ac:dyDescent="0.35">
      <c r="A64" s="7"/>
      <c r="B64" s="7"/>
      <c r="C64" s="7"/>
      <c r="D64" s="7"/>
      <c r="E64" s="7"/>
      <c r="F64" s="17"/>
      <c r="G64" s="490"/>
      <c r="H64" s="7"/>
      <c r="I64" s="7"/>
      <c r="J64" s="7"/>
      <c r="K64" s="7"/>
      <c r="L64" s="7"/>
      <c r="M64" s="7"/>
      <c r="N64" s="7"/>
      <c r="O64" s="7"/>
      <c r="P64" s="7"/>
      <c r="Q64" s="7"/>
      <c r="R64" s="7"/>
      <c r="S64" s="7"/>
      <c r="T64" s="7"/>
      <c r="U64" s="7"/>
      <c r="V64" s="7"/>
      <c r="W64" s="7"/>
      <c r="X64" s="7"/>
      <c r="Y64" s="7"/>
      <c r="Z64" s="7"/>
      <c r="AA64" s="7"/>
      <c r="AB64" s="7"/>
      <c r="AC64" s="7"/>
      <c r="AD64" s="7"/>
      <c r="AE64" s="7"/>
      <c r="AF64" s="7"/>
      <c r="AG64" s="7"/>
      <c r="AH64" s="7"/>
    </row>
    <row r="65" spans="1:34" ht="15.75" customHeight="1" x14ac:dyDescent="0.35">
      <c r="A65" s="7"/>
      <c r="B65" s="7"/>
      <c r="C65" s="7"/>
      <c r="D65" s="7"/>
      <c r="E65" s="7"/>
      <c r="F65" s="17"/>
      <c r="G65" s="490"/>
      <c r="H65" s="7"/>
      <c r="I65" s="7"/>
      <c r="J65" s="7"/>
      <c r="K65" s="7"/>
      <c r="L65" s="7"/>
      <c r="M65" s="7"/>
      <c r="N65" s="7"/>
      <c r="O65" s="7"/>
      <c r="P65" s="7"/>
      <c r="Q65" s="7"/>
      <c r="R65" s="7"/>
      <c r="S65" s="7"/>
      <c r="T65" s="7"/>
      <c r="U65" s="7"/>
      <c r="V65" s="7"/>
      <c r="W65" s="7"/>
      <c r="X65" s="7"/>
      <c r="Y65" s="7"/>
      <c r="Z65" s="7"/>
      <c r="AA65" s="7"/>
      <c r="AB65" s="7"/>
      <c r="AC65" s="7"/>
      <c r="AD65" s="7"/>
      <c r="AE65" s="7"/>
      <c r="AF65" s="7"/>
      <c r="AG65" s="7"/>
      <c r="AH65" s="7"/>
    </row>
    <row r="66" spans="1:34" ht="15.75" customHeight="1" x14ac:dyDescent="0.35">
      <c r="A66" s="7"/>
      <c r="B66" s="7"/>
      <c r="C66" s="7"/>
      <c r="D66" s="7"/>
      <c r="E66" s="7"/>
      <c r="F66" s="17"/>
      <c r="G66" s="490"/>
      <c r="H66" s="7"/>
      <c r="I66" s="7"/>
      <c r="J66" s="7"/>
      <c r="K66" s="7"/>
      <c r="L66" s="7"/>
      <c r="M66" s="7"/>
      <c r="N66" s="7"/>
      <c r="O66" s="7"/>
      <c r="P66" s="7"/>
      <c r="Q66" s="7"/>
      <c r="R66" s="7"/>
      <c r="S66" s="7"/>
      <c r="T66" s="7"/>
      <c r="U66" s="7"/>
      <c r="V66" s="7"/>
      <c r="W66" s="7"/>
      <c r="X66" s="7"/>
      <c r="Y66" s="7"/>
      <c r="Z66" s="7"/>
      <c r="AA66" s="7"/>
      <c r="AB66" s="7"/>
      <c r="AC66" s="7"/>
      <c r="AD66" s="7"/>
      <c r="AE66" s="7"/>
      <c r="AF66" s="7"/>
      <c r="AG66" s="7"/>
      <c r="AH66" s="7"/>
    </row>
    <row r="67" spans="1:34" ht="15.75" customHeight="1" x14ac:dyDescent="0.35">
      <c r="A67" s="7"/>
      <c r="B67" s="7"/>
      <c r="C67" s="7"/>
      <c r="D67" s="7"/>
      <c r="E67" s="7"/>
      <c r="F67" s="17"/>
      <c r="G67" s="490"/>
      <c r="H67" s="7"/>
      <c r="I67" s="7"/>
      <c r="J67" s="7"/>
      <c r="K67" s="7"/>
      <c r="L67" s="7"/>
      <c r="M67" s="7"/>
      <c r="N67" s="7"/>
      <c r="O67" s="7"/>
      <c r="P67" s="7"/>
      <c r="Q67" s="7"/>
      <c r="R67" s="7"/>
      <c r="S67" s="7"/>
      <c r="T67" s="7"/>
      <c r="U67" s="7"/>
      <c r="V67" s="7"/>
      <c r="W67" s="7"/>
      <c r="X67" s="7"/>
      <c r="Y67" s="7"/>
      <c r="Z67" s="7"/>
      <c r="AA67" s="7"/>
      <c r="AB67" s="7"/>
      <c r="AC67" s="7"/>
      <c r="AD67" s="7"/>
      <c r="AE67" s="7"/>
      <c r="AF67" s="7"/>
      <c r="AG67" s="7"/>
      <c r="AH67" s="7"/>
    </row>
    <row r="68" spans="1:34" ht="15.75" customHeight="1" x14ac:dyDescent="0.35">
      <c r="A68" s="7"/>
      <c r="B68" s="7"/>
      <c r="C68" s="7"/>
      <c r="D68" s="7"/>
      <c r="E68" s="7"/>
      <c r="F68" s="17"/>
      <c r="G68" s="490"/>
      <c r="H68" s="7"/>
      <c r="I68" s="7"/>
      <c r="J68" s="7"/>
      <c r="K68" s="7"/>
      <c r="L68" s="7"/>
      <c r="M68" s="7"/>
      <c r="N68" s="7"/>
      <c r="O68" s="7"/>
      <c r="P68" s="7"/>
      <c r="Q68" s="7"/>
      <c r="R68" s="7"/>
      <c r="S68" s="7"/>
      <c r="T68" s="7"/>
      <c r="U68" s="7"/>
      <c r="V68" s="7"/>
      <c r="W68" s="7"/>
      <c r="X68" s="7"/>
      <c r="Y68" s="7"/>
      <c r="Z68" s="7"/>
      <c r="AA68" s="7"/>
      <c r="AB68" s="7"/>
      <c r="AC68" s="7"/>
      <c r="AD68" s="7"/>
      <c r="AE68" s="7"/>
      <c r="AF68" s="7"/>
      <c r="AG68" s="7"/>
      <c r="AH68" s="7"/>
    </row>
    <row r="69" spans="1:34" ht="15.75" customHeight="1" x14ac:dyDescent="0.35">
      <c r="A69" s="7"/>
      <c r="B69" s="7"/>
      <c r="C69" s="7"/>
      <c r="D69" s="7"/>
      <c r="E69" s="7"/>
      <c r="F69" s="17"/>
      <c r="G69" s="490"/>
      <c r="H69" s="7"/>
      <c r="I69" s="7"/>
      <c r="J69" s="7"/>
      <c r="K69" s="7"/>
      <c r="L69" s="7"/>
      <c r="M69" s="7"/>
      <c r="N69" s="7"/>
      <c r="O69" s="7"/>
      <c r="P69" s="7"/>
      <c r="Q69" s="7"/>
      <c r="R69" s="7"/>
      <c r="S69" s="7"/>
      <c r="T69" s="7"/>
      <c r="U69" s="7"/>
      <c r="V69" s="7"/>
      <c r="W69" s="7"/>
      <c r="X69" s="7"/>
      <c r="Y69" s="7"/>
      <c r="Z69" s="7"/>
      <c r="AA69" s="7"/>
      <c r="AB69" s="7"/>
      <c r="AC69" s="7"/>
      <c r="AD69" s="7"/>
      <c r="AE69" s="7"/>
      <c r="AF69" s="7"/>
      <c r="AG69" s="7"/>
      <c r="AH69" s="7"/>
    </row>
    <row r="70" spans="1:34" ht="15.75" customHeight="1" x14ac:dyDescent="0.35">
      <c r="A70" s="7"/>
      <c r="B70" s="7"/>
      <c r="C70" s="7"/>
      <c r="D70" s="7"/>
      <c r="E70" s="7"/>
      <c r="F70" s="17"/>
      <c r="G70" s="490"/>
      <c r="H70" s="7"/>
      <c r="I70" s="7"/>
      <c r="J70" s="7"/>
      <c r="K70" s="7"/>
      <c r="L70" s="7"/>
      <c r="M70" s="7"/>
      <c r="N70" s="7"/>
      <c r="O70" s="7"/>
      <c r="P70" s="7"/>
      <c r="Q70" s="7"/>
      <c r="R70" s="7"/>
      <c r="S70" s="7"/>
      <c r="T70" s="7"/>
      <c r="U70" s="7"/>
      <c r="V70" s="7"/>
      <c r="W70" s="7"/>
      <c r="X70" s="7"/>
      <c r="Y70" s="7"/>
      <c r="Z70" s="7"/>
      <c r="AA70" s="7"/>
      <c r="AB70" s="7"/>
      <c r="AC70" s="7"/>
      <c r="AD70" s="7"/>
      <c r="AE70" s="7"/>
      <c r="AF70" s="7"/>
      <c r="AG70" s="7"/>
      <c r="AH70" s="7"/>
    </row>
    <row r="71" spans="1:34" ht="15.75" customHeight="1" x14ac:dyDescent="0.35">
      <c r="A71" s="7"/>
      <c r="B71" s="7"/>
      <c r="C71" s="7"/>
      <c r="D71" s="7"/>
      <c r="E71" s="7"/>
      <c r="F71" s="17"/>
      <c r="G71" s="490"/>
      <c r="H71" s="7"/>
      <c r="I71" s="7"/>
      <c r="J71" s="7"/>
      <c r="K71" s="7"/>
      <c r="L71" s="7"/>
      <c r="M71" s="7"/>
      <c r="N71" s="7"/>
      <c r="O71" s="7"/>
      <c r="P71" s="7"/>
      <c r="Q71" s="7"/>
      <c r="R71" s="7"/>
      <c r="S71" s="7"/>
      <c r="T71" s="7"/>
      <c r="U71" s="7"/>
      <c r="V71" s="7"/>
      <c r="W71" s="7"/>
      <c r="X71" s="7"/>
      <c r="Y71" s="7"/>
      <c r="Z71" s="7"/>
      <c r="AA71" s="7"/>
      <c r="AB71" s="7"/>
      <c r="AC71" s="7"/>
      <c r="AD71" s="7"/>
      <c r="AE71" s="7"/>
      <c r="AF71" s="7"/>
      <c r="AG71" s="7"/>
      <c r="AH71" s="7"/>
    </row>
    <row r="72" spans="1:34" ht="15.75" customHeight="1" x14ac:dyDescent="0.35">
      <c r="A72" s="7"/>
      <c r="B72" s="7"/>
      <c r="C72" s="7"/>
      <c r="D72" s="7"/>
      <c r="E72" s="7"/>
      <c r="F72" s="17"/>
      <c r="G72" s="490"/>
      <c r="H72" s="7"/>
      <c r="I72" s="7"/>
      <c r="J72" s="7"/>
      <c r="K72" s="7"/>
      <c r="L72" s="7"/>
      <c r="M72" s="7"/>
      <c r="N72" s="7"/>
      <c r="O72" s="7"/>
      <c r="P72" s="7"/>
      <c r="Q72" s="7"/>
      <c r="R72" s="7"/>
      <c r="S72" s="7"/>
      <c r="T72" s="7"/>
      <c r="U72" s="7"/>
      <c r="V72" s="7"/>
      <c r="W72" s="7"/>
      <c r="X72" s="7"/>
      <c r="Y72" s="7"/>
      <c r="Z72" s="7"/>
      <c r="AA72" s="7"/>
      <c r="AB72" s="7"/>
      <c r="AC72" s="7"/>
      <c r="AD72" s="7"/>
      <c r="AE72" s="7"/>
      <c r="AF72" s="7"/>
      <c r="AG72" s="7"/>
      <c r="AH72" s="7"/>
    </row>
    <row r="73" spans="1:34" ht="15.75" customHeight="1" x14ac:dyDescent="0.35">
      <c r="A73" s="7"/>
      <c r="B73" s="7"/>
      <c r="C73" s="7"/>
      <c r="D73" s="7"/>
      <c r="E73" s="7"/>
      <c r="F73" s="17"/>
      <c r="G73" s="490"/>
      <c r="H73" s="7"/>
      <c r="I73" s="7"/>
      <c r="J73" s="7"/>
      <c r="K73" s="7"/>
      <c r="L73" s="7"/>
      <c r="M73" s="7"/>
      <c r="N73" s="7"/>
      <c r="O73" s="7"/>
      <c r="P73" s="7"/>
      <c r="Q73" s="7"/>
      <c r="R73" s="7"/>
      <c r="S73" s="7"/>
      <c r="T73" s="7"/>
      <c r="U73" s="7"/>
      <c r="V73" s="7"/>
      <c r="W73" s="7"/>
      <c r="X73" s="7"/>
      <c r="Y73" s="7"/>
      <c r="Z73" s="7"/>
      <c r="AA73" s="7"/>
      <c r="AB73" s="7"/>
      <c r="AC73" s="7"/>
      <c r="AD73" s="7"/>
      <c r="AE73" s="7"/>
      <c r="AF73" s="7"/>
      <c r="AG73" s="7"/>
      <c r="AH73" s="7"/>
    </row>
    <row r="74" spans="1:34" ht="15.75" customHeight="1" x14ac:dyDescent="0.35">
      <c r="A74" s="7"/>
      <c r="B74" s="7"/>
      <c r="C74" s="7"/>
      <c r="D74" s="7"/>
      <c r="E74" s="7"/>
      <c r="F74" s="17"/>
      <c r="G74" s="490"/>
      <c r="H74" s="7"/>
      <c r="I74" s="7"/>
      <c r="J74" s="7"/>
      <c r="K74" s="7"/>
      <c r="L74" s="7"/>
      <c r="M74" s="7"/>
      <c r="N74" s="7"/>
      <c r="O74" s="7"/>
      <c r="P74" s="7"/>
      <c r="Q74" s="7"/>
      <c r="R74" s="7"/>
      <c r="S74" s="7"/>
      <c r="T74" s="7"/>
      <c r="U74" s="7"/>
      <c r="V74" s="7"/>
      <c r="W74" s="7"/>
      <c r="X74" s="7"/>
      <c r="Y74" s="7"/>
      <c r="Z74" s="7"/>
      <c r="AA74" s="7"/>
      <c r="AB74" s="7"/>
      <c r="AC74" s="7"/>
      <c r="AD74" s="7"/>
      <c r="AE74" s="7"/>
      <c r="AF74" s="7"/>
      <c r="AG74" s="7"/>
      <c r="AH74" s="7"/>
    </row>
    <row r="75" spans="1:34" ht="15.75" customHeight="1" x14ac:dyDescent="0.35">
      <c r="A75" s="7"/>
      <c r="B75" s="7"/>
      <c r="C75" s="7"/>
      <c r="D75" s="7"/>
      <c r="E75" s="7"/>
      <c r="F75" s="17"/>
      <c r="G75" s="490"/>
      <c r="H75" s="7"/>
      <c r="I75" s="7"/>
      <c r="J75" s="7"/>
      <c r="K75" s="7"/>
      <c r="L75" s="7"/>
      <c r="M75" s="7"/>
      <c r="N75" s="7"/>
      <c r="O75" s="7"/>
      <c r="P75" s="7"/>
      <c r="Q75" s="7"/>
      <c r="R75" s="7"/>
      <c r="S75" s="7"/>
      <c r="T75" s="7"/>
      <c r="U75" s="7"/>
      <c r="V75" s="7"/>
      <c r="W75" s="7"/>
      <c r="X75" s="7"/>
      <c r="Y75" s="7"/>
      <c r="Z75" s="7"/>
      <c r="AA75" s="7"/>
      <c r="AB75" s="7"/>
      <c r="AC75" s="7"/>
      <c r="AD75" s="7"/>
      <c r="AE75" s="7"/>
      <c r="AF75" s="7"/>
      <c r="AG75" s="7"/>
      <c r="AH75" s="7"/>
    </row>
    <row r="76" spans="1:34" ht="15.75" customHeight="1" x14ac:dyDescent="0.35">
      <c r="A76" s="7"/>
      <c r="B76" s="7"/>
      <c r="C76" s="7"/>
      <c r="D76" s="7"/>
      <c r="E76" s="7"/>
      <c r="F76" s="17"/>
      <c r="G76" s="490"/>
      <c r="H76" s="7"/>
      <c r="I76" s="7"/>
      <c r="J76" s="7"/>
      <c r="K76" s="7"/>
      <c r="L76" s="7"/>
      <c r="M76" s="7"/>
      <c r="N76" s="7"/>
      <c r="O76" s="7"/>
      <c r="P76" s="7"/>
      <c r="Q76" s="7"/>
      <c r="R76" s="7"/>
      <c r="S76" s="7"/>
      <c r="T76" s="7"/>
      <c r="U76" s="7"/>
      <c r="V76" s="7"/>
      <c r="W76" s="7"/>
      <c r="X76" s="7"/>
      <c r="Y76" s="7"/>
      <c r="Z76" s="7"/>
      <c r="AA76" s="7"/>
      <c r="AB76" s="7"/>
      <c r="AC76" s="7"/>
      <c r="AD76" s="7"/>
      <c r="AE76" s="7"/>
      <c r="AF76" s="7"/>
      <c r="AG76" s="7"/>
      <c r="AH76" s="7"/>
    </row>
    <row r="77" spans="1:34" ht="15.75" customHeight="1" x14ac:dyDescent="0.35">
      <c r="A77" s="7"/>
      <c r="B77" s="7"/>
      <c r="C77" s="7"/>
      <c r="D77" s="7"/>
      <c r="E77" s="7"/>
      <c r="F77" s="17"/>
      <c r="G77" s="490"/>
      <c r="H77" s="7"/>
      <c r="I77" s="7"/>
      <c r="J77" s="7"/>
      <c r="K77" s="7"/>
      <c r="L77" s="7"/>
      <c r="M77" s="7"/>
      <c r="N77" s="7"/>
      <c r="O77" s="7"/>
      <c r="P77" s="7"/>
      <c r="Q77" s="7"/>
      <c r="R77" s="7"/>
      <c r="S77" s="7"/>
      <c r="T77" s="7"/>
      <c r="U77" s="7"/>
      <c r="V77" s="7"/>
      <c r="W77" s="7"/>
      <c r="X77" s="7"/>
      <c r="Y77" s="7"/>
      <c r="Z77" s="7"/>
      <c r="AA77" s="7"/>
      <c r="AB77" s="7"/>
      <c r="AC77" s="7"/>
      <c r="AD77" s="7"/>
      <c r="AE77" s="7"/>
      <c r="AF77" s="7"/>
      <c r="AG77" s="7"/>
      <c r="AH77" s="7"/>
    </row>
    <row r="78" spans="1:34" ht="15.75" customHeight="1" x14ac:dyDescent="0.35">
      <c r="A78" s="7"/>
      <c r="B78" s="7"/>
      <c r="C78" s="7"/>
      <c r="D78" s="7"/>
      <c r="E78" s="7"/>
      <c r="F78" s="17"/>
      <c r="G78" s="490"/>
      <c r="H78" s="7"/>
      <c r="I78" s="7"/>
      <c r="J78" s="7"/>
      <c r="K78" s="7"/>
      <c r="L78" s="7"/>
      <c r="M78" s="7"/>
      <c r="N78" s="7"/>
      <c r="O78" s="7"/>
      <c r="P78" s="7"/>
      <c r="Q78" s="7"/>
      <c r="R78" s="7"/>
      <c r="S78" s="7"/>
      <c r="T78" s="7"/>
      <c r="U78" s="7"/>
      <c r="V78" s="7"/>
      <c r="W78" s="7"/>
      <c r="X78" s="7"/>
      <c r="Y78" s="7"/>
      <c r="Z78" s="7"/>
      <c r="AA78" s="7"/>
      <c r="AB78" s="7"/>
      <c r="AC78" s="7"/>
      <c r="AD78" s="7"/>
      <c r="AE78" s="7"/>
      <c r="AF78" s="7"/>
      <c r="AG78" s="7"/>
      <c r="AH78" s="7"/>
    </row>
    <row r="79" spans="1:34" ht="15.75" customHeight="1" x14ac:dyDescent="0.35">
      <c r="A79" s="7"/>
      <c r="B79" s="7"/>
      <c r="C79" s="7"/>
      <c r="D79" s="7"/>
      <c r="E79" s="7"/>
      <c r="F79" s="17"/>
      <c r="G79" s="490"/>
      <c r="H79" s="7"/>
      <c r="I79" s="7"/>
      <c r="J79" s="7"/>
      <c r="K79" s="7"/>
      <c r="L79" s="7"/>
      <c r="M79" s="7"/>
      <c r="N79" s="7"/>
      <c r="O79" s="7"/>
      <c r="P79" s="7"/>
      <c r="Q79" s="7"/>
      <c r="R79" s="7"/>
      <c r="S79" s="7"/>
      <c r="T79" s="7"/>
      <c r="U79" s="7"/>
      <c r="V79" s="7"/>
      <c r="W79" s="7"/>
      <c r="X79" s="7"/>
      <c r="Y79" s="7"/>
      <c r="Z79" s="7"/>
      <c r="AA79" s="7"/>
      <c r="AB79" s="7"/>
      <c r="AC79" s="7"/>
      <c r="AD79" s="7"/>
      <c r="AE79" s="7"/>
      <c r="AF79" s="7"/>
      <c r="AG79" s="7"/>
      <c r="AH79" s="7"/>
    </row>
    <row r="80" spans="1:34" ht="15.75" customHeight="1" x14ac:dyDescent="0.35">
      <c r="A80" s="7"/>
      <c r="B80" s="7"/>
      <c r="C80" s="7"/>
      <c r="D80" s="7"/>
      <c r="E80" s="7"/>
      <c r="F80" s="17"/>
      <c r="G80" s="490"/>
      <c r="H80" s="7"/>
      <c r="I80" s="7"/>
      <c r="J80" s="7"/>
      <c r="K80" s="7"/>
      <c r="L80" s="7"/>
      <c r="M80" s="7"/>
      <c r="N80" s="7"/>
      <c r="O80" s="7"/>
      <c r="P80" s="7"/>
      <c r="Q80" s="7"/>
      <c r="R80" s="7"/>
      <c r="S80" s="7"/>
      <c r="T80" s="7"/>
      <c r="U80" s="7"/>
      <c r="V80" s="7"/>
      <c r="W80" s="7"/>
      <c r="X80" s="7"/>
      <c r="Y80" s="7"/>
      <c r="Z80" s="7"/>
      <c r="AA80" s="7"/>
      <c r="AB80" s="7"/>
      <c r="AC80" s="7"/>
      <c r="AD80" s="7"/>
      <c r="AE80" s="7"/>
      <c r="AF80" s="7"/>
      <c r="AG80" s="7"/>
      <c r="AH80" s="7"/>
    </row>
    <row r="81" spans="1:34" ht="15.75" customHeight="1" x14ac:dyDescent="0.35">
      <c r="A81" s="7"/>
      <c r="B81" s="7"/>
      <c r="C81" s="7"/>
      <c r="D81" s="7"/>
      <c r="E81" s="7"/>
      <c r="F81" s="17"/>
      <c r="G81" s="490"/>
      <c r="H81" s="7"/>
      <c r="I81" s="7"/>
      <c r="J81" s="7"/>
      <c r="K81" s="7"/>
      <c r="L81" s="7"/>
      <c r="M81" s="7"/>
      <c r="N81" s="7"/>
      <c r="O81" s="7"/>
      <c r="P81" s="7"/>
      <c r="Q81" s="7"/>
      <c r="R81" s="7"/>
      <c r="S81" s="7"/>
      <c r="T81" s="7"/>
      <c r="U81" s="7"/>
      <c r="V81" s="7"/>
      <c r="W81" s="7"/>
      <c r="X81" s="7"/>
      <c r="Y81" s="7"/>
      <c r="Z81" s="7"/>
      <c r="AA81" s="7"/>
      <c r="AB81" s="7"/>
      <c r="AC81" s="7"/>
      <c r="AD81" s="7"/>
      <c r="AE81" s="7"/>
      <c r="AF81" s="7"/>
      <c r="AG81" s="7"/>
      <c r="AH81" s="7"/>
    </row>
    <row r="82" spans="1:34" ht="15.75" customHeight="1" x14ac:dyDescent="0.35">
      <c r="A82" s="7"/>
      <c r="B82" s="7"/>
      <c r="C82" s="7"/>
      <c r="D82" s="7"/>
      <c r="E82" s="7"/>
      <c r="F82" s="17"/>
      <c r="G82" s="490"/>
      <c r="H82" s="7"/>
      <c r="I82" s="7"/>
      <c r="J82" s="7"/>
      <c r="K82" s="7"/>
      <c r="L82" s="7"/>
      <c r="M82" s="7"/>
      <c r="N82" s="7"/>
      <c r="O82" s="7"/>
      <c r="P82" s="7"/>
      <c r="Q82" s="7"/>
      <c r="R82" s="7"/>
      <c r="S82" s="7"/>
      <c r="T82" s="7"/>
      <c r="U82" s="7"/>
      <c r="V82" s="7"/>
      <c r="W82" s="7"/>
      <c r="X82" s="7"/>
      <c r="Y82" s="7"/>
      <c r="Z82" s="7"/>
      <c r="AA82" s="7"/>
      <c r="AB82" s="7"/>
      <c r="AC82" s="7"/>
      <c r="AD82" s="7"/>
      <c r="AE82" s="7"/>
      <c r="AF82" s="7"/>
      <c r="AG82" s="7"/>
      <c r="AH82" s="7"/>
    </row>
    <row r="83" spans="1:34" ht="15.75" customHeight="1" x14ac:dyDescent="0.35">
      <c r="A83" s="7"/>
      <c r="B83" s="7"/>
      <c r="C83" s="7"/>
      <c r="D83" s="7"/>
      <c r="E83" s="7"/>
      <c r="F83" s="17"/>
      <c r="G83" s="490"/>
      <c r="H83" s="7"/>
      <c r="I83" s="7"/>
      <c r="J83" s="7"/>
      <c r="K83" s="7"/>
      <c r="L83" s="7"/>
      <c r="M83" s="7"/>
      <c r="N83" s="7"/>
      <c r="O83" s="7"/>
      <c r="P83" s="7"/>
      <c r="Q83" s="7"/>
      <c r="R83" s="7"/>
      <c r="S83" s="7"/>
      <c r="T83" s="7"/>
      <c r="U83" s="7"/>
      <c r="V83" s="7"/>
      <c r="W83" s="7"/>
      <c r="X83" s="7"/>
      <c r="Y83" s="7"/>
      <c r="Z83" s="7"/>
      <c r="AA83" s="7"/>
      <c r="AB83" s="7"/>
      <c r="AC83" s="7"/>
      <c r="AD83" s="7"/>
      <c r="AE83" s="7"/>
      <c r="AF83" s="7"/>
      <c r="AG83" s="7"/>
      <c r="AH83" s="7"/>
    </row>
    <row r="84" spans="1:34" ht="15.75" customHeight="1" x14ac:dyDescent="0.35">
      <c r="A84" s="7"/>
      <c r="B84" s="7"/>
      <c r="C84" s="7"/>
      <c r="D84" s="7"/>
      <c r="E84" s="7"/>
      <c r="F84" s="17"/>
      <c r="G84" s="490"/>
      <c r="H84" s="7"/>
      <c r="I84" s="7"/>
      <c r="J84" s="7"/>
      <c r="K84" s="7"/>
      <c r="L84" s="7"/>
      <c r="M84" s="7"/>
      <c r="N84" s="7"/>
      <c r="O84" s="7"/>
      <c r="P84" s="7"/>
      <c r="Q84" s="7"/>
      <c r="R84" s="7"/>
      <c r="S84" s="7"/>
      <c r="T84" s="7"/>
      <c r="U84" s="7"/>
      <c r="V84" s="7"/>
      <c r="W84" s="7"/>
      <c r="X84" s="7"/>
      <c r="Y84" s="7"/>
      <c r="Z84" s="7"/>
      <c r="AA84" s="7"/>
      <c r="AB84" s="7"/>
      <c r="AC84" s="7"/>
      <c r="AD84" s="7"/>
      <c r="AE84" s="7"/>
      <c r="AF84" s="7"/>
      <c r="AG84" s="7"/>
      <c r="AH84" s="7"/>
    </row>
    <row r="85" spans="1:34" ht="15.75" customHeight="1" x14ac:dyDescent="0.35">
      <c r="A85" s="7"/>
      <c r="B85" s="7"/>
      <c r="C85" s="7"/>
      <c r="D85" s="7"/>
      <c r="E85" s="7"/>
      <c r="F85" s="17"/>
      <c r="G85" s="490"/>
      <c r="H85" s="7"/>
      <c r="I85" s="7"/>
      <c r="J85" s="7"/>
      <c r="K85" s="7"/>
      <c r="L85" s="7"/>
      <c r="M85" s="7"/>
      <c r="N85" s="7"/>
      <c r="O85" s="7"/>
      <c r="P85" s="7"/>
      <c r="Q85" s="7"/>
      <c r="R85" s="7"/>
      <c r="S85" s="7"/>
      <c r="T85" s="7"/>
      <c r="U85" s="7"/>
      <c r="V85" s="7"/>
      <c r="W85" s="7"/>
      <c r="X85" s="7"/>
      <c r="Y85" s="7"/>
      <c r="Z85" s="7"/>
      <c r="AA85" s="7"/>
      <c r="AB85" s="7"/>
      <c r="AC85" s="7"/>
      <c r="AD85" s="7"/>
      <c r="AE85" s="7"/>
      <c r="AF85" s="7"/>
      <c r="AG85" s="7"/>
      <c r="AH85" s="7"/>
    </row>
    <row r="86" spans="1:34" ht="15.75" customHeight="1" x14ac:dyDescent="0.35">
      <c r="A86" s="7"/>
      <c r="B86" s="7"/>
      <c r="C86" s="7"/>
      <c r="D86" s="7"/>
      <c r="E86" s="7"/>
      <c r="F86" s="17"/>
      <c r="G86" s="490"/>
      <c r="H86" s="7"/>
      <c r="I86" s="7"/>
      <c r="J86" s="7"/>
      <c r="K86" s="7"/>
      <c r="L86" s="7"/>
      <c r="M86" s="7"/>
      <c r="N86" s="7"/>
      <c r="O86" s="7"/>
      <c r="P86" s="7"/>
      <c r="Q86" s="7"/>
      <c r="R86" s="7"/>
      <c r="S86" s="7"/>
      <c r="T86" s="7"/>
      <c r="U86" s="7"/>
      <c r="V86" s="7"/>
      <c r="W86" s="7"/>
      <c r="X86" s="7"/>
      <c r="Y86" s="7"/>
      <c r="Z86" s="7"/>
      <c r="AA86" s="7"/>
      <c r="AB86" s="7"/>
      <c r="AC86" s="7"/>
      <c r="AD86" s="7"/>
      <c r="AE86" s="7"/>
      <c r="AF86" s="7"/>
      <c r="AG86" s="7"/>
      <c r="AH86" s="7"/>
    </row>
    <row r="87" spans="1:34" ht="15.75" customHeight="1" x14ac:dyDescent="0.35">
      <c r="A87" s="7"/>
      <c r="B87" s="7"/>
      <c r="C87" s="7"/>
      <c r="D87" s="7"/>
      <c r="E87" s="7"/>
      <c r="F87" s="17"/>
      <c r="G87" s="490"/>
      <c r="H87" s="7"/>
      <c r="I87" s="7"/>
      <c r="J87" s="7"/>
      <c r="K87" s="7"/>
      <c r="L87" s="7"/>
      <c r="M87" s="7"/>
      <c r="N87" s="7"/>
      <c r="O87" s="7"/>
      <c r="P87" s="7"/>
      <c r="Q87" s="7"/>
      <c r="R87" s="7"/>
      <c r="S87" s="7"/>
      <c r="T87" s="7"/>
      <c r="U87" s="7"/>
      <c r="V87" s="7"/>
      <c r="W87" s="7"/>
      <c r="X87" s="7"/>
      <c r="Y87" s="7"/>
      <c r="Z87" s="7"/>
      <c r="AA87" s="7"/>
      <c r="AB87" s="7"/>
      <c r="AC87" s="7"/>
      <c r="AD87" s="7"/>
      <c r="AE87" s="7"/>
      <c r="AF87" s="7"/>
      <c r="AG87" s="7"/>
      <c r="AH87" s="7"/>
    </row>
    <row r="88" spans="1:34" ht="15.75" customHeight="1" x14ac:dyDescent="0.35">
      <c r="A88" s="7"/>
      <c r="B88" s="7"/>
      <c r="C88" s="7"/>
      <c r="D88" s="7"/>
      <c r="E88" s="7"/>
      <c r="F88" s="17"/>
      <c r="G88" s="490"/>
      <c r="H88" s="7"/>
      <c r="I88" s="7"/>
      <c r="J88" s="7"/>
      <c r="K88" s="7"/>
      <c r="L88" s="7"/>
      <c r="M88" s="7"/>
      <c r="N88" s="7"/>
      <c r="O88" s="7"/>
      <c r="P88" s="7"/>
      <c r="Q88" s="7"/>
      <c r="R88" s="7"/>
      <c r="S88" s="7"/>
      <c r="T88" s="7"/>
      <c r="U88" s="7"/>
      <c r="V88" s="7"/>
      <c r="W88" s="7"/>
      <c r="X88" s="7"/>
      <c r="Y88" s="7"/>
      <c r="Z88" s="7"/>
      <c r="AA88" s="7"/>
      <c r="AB88" s="7"/>
      <c r="AC88" s="7"/>
      <c r="AD88" s="7"/>
      <c r="AE88" s="7"/>
      <c r="AF88" s="7"/>
      <c r="AG88" s="7"/>
      <c r="AH88" s="7"/>
    </row>
    <row r="89" spans="1:34" ht="15.75" customHeight="1" x14ac:dyDescent="0.35">
      <c r="A89" s="7"/>
      <c r="B89" s="7"/>
      <c r="C89" s="7"/>
      <c r="D89" s="7"/>
      <c r="E89" s="7"/>
      <c r="F89" s="17"/>
      <c r="G89" s="490"/>
      <c r="H89" s="7"/>
      <c r="I89" s="7"/>
      <c r="J89" s="7"/>
      <c r="K89" s="7"/>
      <c r="L89" s="7"/>
      <c r="M89" s="7"/>
      <c r="N89" s="7"/>
      <c r="O89" s="7"/>
      <c r="P89" s="7"/>
      <c r="Q89" s="7"/>
      <c r="R89" s="7"/>
      <c r="S89" s="7"/>
      <c r="T89" s="7"/>
      <c r="U89" s="7"/>
      <c r="V89" s="7"/>
      <c r="W89" s="7"/>
      <c r="X89" s="7"/>
      <c r="Y89" s="7"/>
      <c r="Z89" s="7"/>
      <c r="AA89" s="7"/>
      <c r="AB89" s="7"/>
      <c r="AC89" s="7"/>
      <c r="AD89" s="7"/>
      <c r="AE89" s="7"/>
      <c r="AF89" s="7"/>
      <c r="AG89" s="7"/>
      <c r="AH89" s="7"/>
    </row>
    <row r="90" spans="1:34" ht="15.75" customHeight="1" x14ac:dyDescent="0.35">
      <c r="A90" s="7"/>
      <c r="B90" s="7"/>
      <c r="C90" s="7"/>
      <c r="D90" s="7"/>
      <c r="E90" s="7"/>
      <c r="F90" s="17"/>
      <c r="G90" s="490"/>
      <c r="H90" s="7"/>
      <c r="I90" s="7"/>
      <c r="J90" s="7"/>
      <c r="K90" s="7"/>
      <c r="L90" s="7"/>
      <c r="M90" s="7"/>
      <c r="N90" s="7"/>
      <c r="O90" s="7"/>
      <c r="P90" s="7"/>
      <c r="Q90" s="7"/>
      <c r="R90" s="7"/>
      <c r="S90" s="7"/>
      <c r="T90" s="7"/>
      <c r="U90" s="7"/>
      <c r="V90" s="7"/>
      <c r="W90" s="7"/>
      <c r="X90" s="7"/>
      <c r="Y90" s="7"/>
      <c r="Z90" s="7"/>
      <c r="AA90" s="7"/>
      <c r="AB90" s="7"/>
      <c r="AC90" s="7"/>
      <c r="AD90" s="7"/>
      <c r="AE90" s="7"/>
      <c r="AF90" s="7"/>
      <c r="AG90" s="7"/>
      <c r="AH90" s="7"/>
    </row>
    <row r="91" spans="1:34" ht="15.75" customHeight="1" x14ac:dyDescent="0.35">
      <c r="A91" s="7"/>
      <c r="B91" s="7"/>
      <c r="C91" s="7"/>
      <c r="D91" s="7"/>
      <c r="E91" s="7"/>
      <c r="F91" s="17"/>
      <c r="G91" s="490"/>
      <c r="H91" s="7"/>
      <c r="I91" s="7"/>
      <c r="J91" s="7"/>
      <c r="K91" s="7"/>
      <c r="L91" s="7"/>
      <c r="M91" s="7"/>
      <c r="N91" s="7"/>
      <c r="O91" s="7"/>
      <c r="P91" s="7"/>
      <c r="Q91" s="7"/>
      <c r="R91" s="7"/>
      <c r="S91" s="7"/>
      <c r="T91" s="7"/>
      <c r="U91" s="7"/>
      <c r="V91" s="7"/>
      <c r="W91" s="7"/>
      <c r="X91" s="7"/>
      <c r="Y91" s="7"/>
      <c r="Z91" s="7"/>
      <c r="AA91" s="7"/>
      <c r="AB91" s="7"/>
      <c r="AC91" s="7"/>
      <c r="AD91" s="7"/>
      <c r="AE91" s="7"/>
      <c r="AF91" s="7"/>
      <c r="AG91" s="7"/>
      <c r="AH91" s="7"/>
    </row>
    <row r="92" spans="1:34" ht="15.75" customHeight="1" x14ac:dyDescent="0.35">
      <c r="A92" s="7"/>
      <c r="B92" s="7"/>
      <c r="C92" s="7"/>
      <c r="D92" s="7"/>
      <c r="E92" s="7"/>
      <c r="F92" s="17"/>
      <c r="G92" s="490"/>
      <c r="H92" s="7"/>
      <c r="I92" s="7"/>
      <c r="J92" s="7"/>
      <c r="K92" s="7"/>
      <c r="L92" s="7"/>
      <c r="M92" s="7"/>
      <c r="N92" s="7"/>
      <c r="O92" s="7"/>
      <c r="P92" s="7"/>
      <c r="Q92" s="7"/>
      <c r="R92" s="7"/>
      <c r="S92" s="7"/>
      <c r="T92" s="7"/>
      <c r="U92" s="7"/>
      <c r="V92" s="7"/>
      <c r="W92" s="7"/>
      <c r="X92" s="7"/>
      <c r="Y92" s="7"/>
      <c r="Z92" s="7"/>
      <c r="AA92" s="7"/>
      <c r="AB92" s="7"/>
      <c r="AC92" s="7"/>
      <c r="AD92" s="7"/>
      <c r="AE92" s="7"/>
      <c r="AF92" s="7"/>
      <c r="AG92" s="7"/>
      <c r="AH92" s="7"/>
    </row>
    <row r="93" spans="1:34" ht="15.75" customHeight="1" x14ac:dyDescent="0.35">
      <c r="A93" s="7"/>
      <c r="B93" s="7"/>
      <c r="C93" s="7"/>
      <c r="D93" s="7"/>
      <c r="E93" s="7"/>
      <c r="F93" s="17"/>
      <c r="G93" s="490"/>
      <c r="H93" s="7"/>
      <c r="I93" s="7"/>
      <c r="J93" s="7"/>
      <c r="K93" s="7"/>
      <c r="L93" s="7"/>
      <c r="M93" s="7"/>
      <c r="N93" s="7"/>
      <c r="O93" s="7"/>
      <c r="P93" s="7"/>
      <c r="Q93" s="7"/>
      <c r="R93" s="7"/>
      <c r="S93" s="7"/>
      <c r="T93" s="7"/>
      <c r="U93" s="7"/>
      <c r="V93" s="7"/>
      <c r="W93" s="7"/>
      <c r="X93" s="7"/>
      <c r="Y93" s="7"/>
      <c r="Z93" s="7"/>
      <c r="AA93" s="7"/>
      <c r="AB93" s="7"/>
      <c r="AC93" s="7"/>
      <c r="AD93" s="7"/>
      <c r="AE93" s="7"/>
      <c r="AF93" s="7"/>
      <c r="AG93" s="7"/>
      <c r="AH93" s="7"/>
    </row>
    <row r="94" spans="1:34" ht="15.75" customHeight="1" x14ac:dyDescent="0.35">
      <c r="A94" s="7"/>
      <c r="B94" s="7"/>
      <c r="C94" s="7"/>
      <c r="D94" s="7"/>
      <c r="E94" s="7"/>
      <c r="F94" s="17"/>
      <c r="G94" s="490"/>
      <c r="H94" s="7"/>
      <c r="I94" s="7"/>
      <c r="J94" s="7"/>
      <c r="K94" s="7"/>
      <c r="L94" s="7"/>
      <c r="M94" s="7"/>
      <c r="N94" s="7"/>
      <c r="O94" s="7"/>
      <c r="P94" s="7"/>
      <c r="Q94" s="7"/>
      <c r="R94" s="7"/>
      <c r="S94" s="7"/>
      <c r="T94" s="7"/>
      <c r="U94" s="7"/>
      <c r="V94" s="7"/>
      <c r="W94" s="7"/>
      <c r="X94" s="7"/>
      <c r="Y94" s="7"/>
      <c r="Z94" s="7"/>
      <c r="AA94" s="7"/>
      <c r="AB94" s="7"/>
      <c r="AC94" s="7"/>
      <c r="AD94" s="7"/>
      <c r="AE94" s="7"/>
      <c r="AF94" s="7"/>
      <c r="AG94" s="7"/>
      <c r="AH94" s="7"/>
    </row>
    <row r="95" spans="1:34" ht="15.75" customHeight="1" x14ac:dyDescent="0.35">
      <c r="A95" s="7"/>
      <c r="B95" s="7"/>
      <c r="C95" s="7"/>
      <c r="D95" s="7"/>
      <c r="E95" s="7"/>
      <c r="F95" s="17"/>
      <c r="G95" s="490"/>
      <c r="H95" s="7"/>
      <c r="I95" s="7"/>
      <c r="J95" s="7"/>
      <c r="K95" s="7"/>
      <c r="L95" s="7"/>
      <c r="M95" s="7"/>
      <c r="N95" s="7"/>
      <c r="O95" s="7"/>
      <c r="P95" s="7"/>
      <c r="Q95" s="7"/>
      <c r="R95" s="7"/>
      <c r="S95" s="7"/>
      <c r="T95" s="7"/>
      <c r="U95" s="7"/>
      <c r="V95" s="7"/>
      <c r="W95" s="7"/>
      <c r="X95" s="7"/>
      <c r="Y95" s="7"/>
      <c r="Z95" s="7"/>
      <c r="AA95" s="7"/>
      <c r="AB95" s="7"/>
      <c r="AC95" s="7"/>
      <c r="AD95" s="7"/>
      <c r="AE95" s="7"/>
      <c r="AF95" s="7"/>
      <c r="AG95" s="7"/>
      <c r="AH95" s="7"/>
    </row>
    <row r="96" spans="1:34" ht="15.75" customHeight="1" x14ac:dyDescent="0.35">
      <c r="A96" s="7"/>
      <c r="B96" s="7"/>
      <c r="C96" s="7"/>
      <c r="D96" s="7"/>
      <c r="E96" s="7"/>
      <c r="F96" s="17"/>
      <c r="G96" s="490"/>
      <c r="H96" s="7"/>
      <c r="I96" s="7"/>
      <c r="J96" s="7"/>
      <c r="K96" s="7"/>
      <c r="L96" s="7"/>
      <c r="M96" s="7"/>
      <c r="N96" s="7"/>
      <c r="O96" s="7"/>
      <c r="P96" s="7"/>
      <c r="Q96" s="7"/>
      <c r="R96" s="7"/>
      <c r="S96" s="7"/>
      <c r="T96" s="7"/>
      <c r="U96" s="7"/>
      <c r="V96" s="7"/>
      <c r="W96" s="7"/>
      <c r="X96" s="7"/>
      <c r="Y96" s="7"/>
      <c r="Z96" s="7"/>
      <c r="AA96" s="7"/>
      <c r="AB96" s="7"/>
      <c r="AC96" s="7"/>
      <c r="AD96" s="7"/>
      <c r="AE96" s="7"/>
      <c r="AF96" s="7"/>
      <c r="AG96" s="7"/>
      <c r="AH96" s="7"/>
    </row>
    <row r="97" spans="1:34" ht="15.75" customHeight="1" x14ac:dyDescent="0.35">
      <c r="A97" s="7"/>
      <c r="B97" s="7"/>
      <c r="C97" s="7"/>
      <c r="D97" s="7"/>
      <c r="E97" s="7"/>
      <c r="F97" s="17"/>
      <c r="G97" s="490"/>
      <c r="H97" s="7"/>
      <c r="I97" s="7"/>
      <c r="J97" s="7"/>
      <c r="K97" s="7"/>
      <c r="L97" s="7"/>
      <c r="M97" s="7"/>
      <c r="N97" s="7"/>
      <c r="O97" s="7"/>
      <c r="P97" s="7"/>
      <c r="Q97" s="7"/>
      <c r="R97" s="7"/>
      <c r="S97" s="7"/>
      <c r="T97" s="7"/>
      <c r="U97" s="7"/>
      <c r="V97" s="7"/>
      <c r="W97" s="7"/>
      <c r="X97" s="7"/>
      <c r="Y97" s="7"/>
      <c r="Z97" s="7"/>
      <c r="AA97" s="7"/>
      <c r="AB97" s="7"/>
      <c r="AC97" s="7"/>
      <c r="AD97" s="7"/>
      <c r="AE97" s="7"/>
      <c r="AF97" s="7"/>
      <c r="AG97" s="7"/>
      <c r="AH97" s="7"/>
    </row>
    <row r="98" spans="1:34" ht="15.75" customHeight="1" x14ac:dyDescent="0.35">
      <c r="A98" s="7"/>
      <c r="B98" s="7"/>
      <c r="C98" s="7"/>
      <c r="D98" s="7"/>
      <c r="E98" s="7"/>
      <c r="F98" s="17"/>
      <c r="G98" s="490"/>
      <c r="H98" s="7"/>
      <c r="I98" s="7"/>
      <c r="J98" s="7"/>
      <c r="K98" s="7"/>
      <c r="L98" s="7"/>
      <c r="M98" s="7"/>
      <c r="N98" s="7"/>
      <c r="O98" s="7"/>
      <c r="P98" s="7"/>
      <c r="Q98" s="7"/>
      <c r="R98" s="7"/>
      <c r="S98" s="7"/>
      <c r="T98" s="7"/>
      <c r="U98" s="7"/>
      <c r="V98" s="7"/>
      <c r="W98" s="7"/>
      <c r="X98" s="7"/>
      <c r="Y98" s="7"/>
      <c r="Z98" s="7"/>
      <c r="AA98" s="7"/>
      <c r="AB98" s="7"/>
      <c r="AC98" s="7"/>
      <c r="AD98" s="7"/>
      <c r="AE98" s="7"/>
      <c r="AF98" s="7"/>
      <c r="AG98" s="7"/>
      <c r="AH98" s="7"/>
    </row>
    <row r="99" spans="1:34" ht="15.75" customHeight="1" x14ac:dyDescent="0.35">
      <c r="A99" s="7"/>
      <c r="B99" s="7"/>
      <c r="C99" s="7"/>
      <c r="D99" s="7"/>
      <c r="E99" s="7"/>
      <c r="F99" s="17"/>
      <c r="G99" s="490"/>
      <c r="H99" s="7"/>
      <c r="I99" s="7"/>
      <c r="J99" s="7"/>
      <c r="K99" s="7"/>
      <c r="L99" s="7"/>
      <c r="M99" s="7"/>
      <c r="N99" s="7"/>
      <c r="O99" s="7"/>
      <c r="P99" s="7"/>
      <c r="Q99" s="7"/>
      <c r="R99" s="7"/>
      <c r="S99" s="7"/>
      <c r="T99" s="7"/>
      <c r="U99" s="7"/>
      <c r="V99" s="7"/>
      <c r="W99" s="7"/>
      <c r="X99" s="7"/>
      <c r="Y99" s="7"/>
      <c r="Z99" s="7"/>
      <c r="AA99" s="7"/>
      <c r="AB99" s="7"/>
      <c r="AC99" s="7"/>
      <c r="AD99" s="7"/>
      <c r="AE99" s="7"/>
      <c r="AF99" s="7"/>
      <c r="AG99" s="7"/>
      <c r="AH99" s="7"/>
    </row>
    <row r="100" spans="1:34" ht="15.75" customHeight="1" x14ac:dyDescent="0.35">
      <c r="A100" s="7"/>
      <c r="B100" s="7"/>
      <c r="C100" s="7"/>
      <c r="D100" s="7"/>
      <c r="E100" s="7"/>
      <c r="F100" s="17"/>
      <c r="G100" s="490"/>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row>
    <row r="101" spans="1:34" ht="15.75" customHeight="1" x14ac:dyDescent="0.35">
      <c r="A101" s="7"/>
      <c r="B101" s="7"/>
      <c r="C101" s="7"/>
      <c r="D101" s="7"/>
      <c r="E101" s="7"/>
      <c r="F101" s="17"/>
      <c r="G101" s="490"/>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row>
    <row r="102" spans="1:34" ht="15.75" customHeight="1" x14ac:dyDescent="0.35">
      <c r="A102" s="7"/>
      <c r="B102" s="7"/>
      <c r="C102" s="7"/>
      <c r="D102" s="7"/>
      <c r="E102" s="7"/>
      <c r="F102" s="17"/>
      <c r="G102" s="490"/>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row>
    <row r="103" spans="1:34" ht="15.75" customHeight="1" x14ac:dyDescent="0.35">
      <c r="A103" s="7"/>
      <c r="B103" s="7"/>
      <c r="C103" s="7"/>
      <c r="D103" s="7"/>
      <c r="E103" s="7"/>
      <c r="F103" s="17"/>
      <c r="G103" s="490"/>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row>
    <row r="104" spans="1:34" ht="15.75" customHeight="1" x14ac:dyDescent="0.35">
      <c r="A104" s="7"/>
      <c r="B104" s="7"/>
      <c r="C104" s="7"/>
      <c r="D104" s="7"/>
      <c r="E104" s="7"/>
      <c r="F104" s="17"/>
      <c r="G104" s="490"/>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row>
    <row r="105" spans="1:34" ht="15.75" customHeight="1" x14ac:dyDescent="0.35">
      <c r="A105" s="7"/>
      <c r="B105" s="7"/>
      <c r="C105" s="7"/>
      <c r="D105" s="7"/>
      <c r="E105" s="7"/>
      <c r="F105" s="17"/>
      <c r="G105" s="490"/>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row>
    <row r="106" spans="1:34" ht="15.75" customHeight="1" x14ac:dyDescent="0.35">
      <c r="A106" s="7"/>
      <c r="B106" s="7"/>
      <c r="C106" s="7"/>
      <c r="D106" s="7"/>
      <c r="E106" s="7"/>
      <c r="F106" s="17"/>
      <c r="G106" s="490"/>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row>
    <row r="107" spans="1:34" ht="15.75" customHeight="1" x14ac:dyDescent="0.35">
      <c r="A107" s="7"/>
      <c r="B107" s="7"/>
      <c r="C107" s="7"/>
      <c r="D107" s="7"/>
      <c r="E107" s="7"/>
      <c r="F107" s="17"/>
      <c r="G107" s="490"/>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row>
    <row r="108" spans="1:34" ht="15.75" customHeight="1" x14ac:dyDescent="0.35">
      <c r="A108" s="7"/>
      <c r="B108" s="7"/>
      <c r="C108" s="7"/>
      <c r="D108" s="7"/>
      <c r="E108" s="7"/>
      <c r="F108" s="17"/>
      <c r="G108" s="490"/>
      <c r="H108" s="7"/>
      <c r="I108" s="7"/>
      <c r="J108" s="7"/>
      <c r="K108" s="7"/>
      <c r="L108" s="7"/>
      <c r="M108" s="7"/>
      <c r="N108" s="7"/>
      <c r="O108" s="7"/>
      <c r="P108" s="7"/>
      <c r="Q108" s="7"/>
      <c r="R108" s="7"/>
      <c r="S108" s="7"/>
      <c r="T108" s="7"/>
      <c r="U108" s="7"/>
      <c r="V108" s="7"/>
      <c r="W108" s="7"/>
      <c r="X108" s="7"/>
      <c r="Y108" s="7"/>
      <c r="Z108" s="7"/>
      <c r="AA108" s="7"/>
      <c r="AB108" s="7"/>
      <c r="AC108" s="7"/>
      <c r="AD108" s="7"/>
      <c r="AE108" s="7"/>
      <c r="AF108" s="7"/>
      <c r="AG108" s="7"/>
      <c r="AH108" s="7"/>
    </row>
    <row r="109" spans="1:34" ht="15.75" customHeight="1" x14ac:dyDescent="0.35">
      <c r="A109" s="7"/>
      <c r="B109" s="7"/>
      <c r="C109" s="7"/>
      <c r="D109" s="7"/>
      <c r="E109" s="7"/>
      <c r="F109" s="17"/>
      <c r="G109" s="490"/>
      <c r="H109" s="7"/>
      <c r="I109" s="7"/>
      <c r="J109" s="7"/>
      <c r="K109" s="7"/>
      <c r="L109" s="7"/>
      <c r="M109" s="7"/>
      <c r="N109" s="7"/>
      <c r="O109" s="7"/>
      <c r="P109" s="7"/>
      <c r="Q109" s="7"/>
      <c r="R109" s="7"/>
      <c r="S109" s="7"/>
      <c r="T109" s="7"/>
      <c r="U109" s="7"/>
      <c r="V109" s="7"/>
      <c r="W109" s="7"/>
      <c r="X109" s="7"/>
      <c r="Y109" s="7"/>
      <c r="Z109" s="7"/>
      <c r="AA109" s="7"/>
      <c r="AB109" s="7"/>
      <c r="AC109" s="7"/>
      <c r="AD109" s="7"/>
      <c r="AE109" s="7"/>
      <c r="AF109" s="7"/>
      <c r="AG109" s="7"/>
      <c r="AH109" s="7"/>
    </row>
    <row r="110" spans="1:34" ht="15.75" customHeight="1" x14ac:dyDescent="0.35">
      <c r="A110" s="7"/>
      <c r="B110" s="7"/>
      <c r="C110" s="7"/>
      <c r="D110" s="7"/>
      <c r="E110" s="7"/>
      <c r="F110" s="17"/>
      <c r="G110" s="490"/>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row>
    <row r="111" spans="1:34" ht="15.75" customHeight="1" x14ac:dyDescent="0.35">
      <c r="A111" s="7"/>
      <c r="B111" s="7"/>
      <c r="C111" s="7"/>
      <c r="D111" s="7"/>
      <c r="E111" s="7"/>
      <c r="F111" s="17"/>
      <c r="G111" s="490"/>
      <c r="H111" s="7"/>
      <c r="I111" s="7"/>
      <c r="J111" s="7"/>
      <c r="K111" s="7"/>
      <c r="L111" s="7"/>
      <c r="M111" s="7"/>
      <c r="N111" s="7"/>
      <c r="O111" s="7"/>
      <c r="P111" s="7"/>
      <c r="Q111" s="7"/>
      <c r="R111" s="7"/>
      <c r="S111" s="7"/>
      <c r="T111" s="7"/>
      <c r="U111" s="7"/>
      <c r="V111" s="7"/>
      <c r="W111" s="7"/>
      <c r="X111" s="7"/>
      <c r="Y111" s="7"/>
      <c r="Z111" s="7"/>
      <c r="AA111" s="7"/>
      <c r="AB111" s="7"/>
      <c r="AC111" s="7"/>
      <c r="AD111" s="7"/>
      <c r="AE111" s="7"/>
      <c r="AF111" s="7"/>
      <c r="AG111" s="7"/>
      <c r="AH111" s="7"/>
    </row>
    <row r="112" spans="1:34" ht="15.75" customHeight="1" x14ac:dyDescent="0.35">
      <c r="A112" s="7"/>
      <c r="B112" s="7"/>
      <c r="C112" s="7"/>
      <c r="D112" s="7"/>
      <c r="E112" s="7"/>
      <c r="F112" s="17"/>
      <c r="G112" s="490"/>
      <c r="H112" s="7"/>
      <c r="I112" s="7"/>
      <c r="J112" s="7"/>
      <c r="K112" s="7"/>
      <c r="L112" s="7"/>
      <c r="M112" s="7"/>
      <c r="N112" s="7"/>
      <c r="O112" s="7"/>
      <c r="P112" s="7"/>
      <c r="Q112" s="7"/>
      <c r="R112" s="7"/>
      <c r="S112" s="7"/>
      <c r="T112" s="7"/>
      <c r="U112" s="7"/>
      <c r="V112" s="7"/>
      <c r="W112" s="7"/>
      <c r="X112" s="7"/>
      <c r="Y112" s="7"/>
      <c r="Z112" s="7"/>
      <c r="AA112" s="7"/>
      <c r="AB112" s="7"/>
      <c r="AC112" s="7"/>
      <c r="AD112" s="7"/>
      <c r="AE112" s="7"/>
      <c r="AF112" s="7"/>
      <c r="AG112" s="7"/>
      <c r="AH112" s="7"/>
    </row>
    <row r="113" spans="1:34" ht="15.75" customHeight="1" x14ac:dyDescent="0.35">
      <c r="A113" s="7"/>
      <c r="B113" s="7"/>
      <c r="C113" s="7"/>
      <c r="D113" s="7"/>
      <c r="E113" s="7"/>
      <c r="F113" s="17"/>
      <c r="G113" s="490"/>
      <c r="H113" s="7"/>
      <c r="I113" s="7"/>
      <c r="J113" s="7"/>
      <c r="K113" s="7"/>
      <c r="L113" s="7"/>
      <c r="M113" s="7"/>
      <c r="N113" s="7"/>
      <c r="O113" s="7"/>
      <c r="P113" s="7"/>
      <c r="Q113" s="7"/>
      <c r="R113" s="7"/>
      <c r="S113" s="7"/>
      <c r="T113" s="7"/>
      <c r="U113" s="7"/>
      <c r="V113" s="7"/>
      <c r="W113" s="7"/>
      <c r="X113" s="7"/>
      <c r="Y113" s="7"/>
      <c r="Z113" s="7"/>
      <c r="AA113" s="7"/>
      <c r="AB113" s="7"/>
      <c r="AC113" s="7"/>
      <c r="AD113" s="7"/>
      <c r="AE113" s="7"/>
      <c r="AF113" s="7"/>
      <c r="AG113" s="7"/>
      <c r="AH113" s="7"/>
    </row>
    <row r="114" spans="1:34" ht="15.75" customHeight="1" x14ac:dyDescent="0.35">
      <c r="A114" s="7"/>
      <c r="B114" s="7"/>
      <c r="C114" s="7"/>
      <c r="D114" s="7"/>
      <c r="E114" s="7"/>
      <c r="F114" s="17"/>
      <c r="G114" s="490"/>
      <c r="H114" s="7"/>
      <c r="I114" s="7"/>
      <c r="J114" s="7"/>
      <c r="K114" s="7"/>
      <c r="L114" s="7"/>
      <c r="M114" s="7"/>
      <c r="N114" s="7"/>
      <c r="O114" s="7"/>
      <c r="P114" s="7"/>
      <c r="Q114" s="7"/>
      <c r="R114" s="7"/>
      <c r="S114" s="7"/>
      <c r="T114" s="7"/>
      <c r="U114" s="7"/>
      <c r="V114" s="7"/>
      <c r="W114" s="7"/>
      <c r="X114" s="7"/>
      <c r="Y114" s="7"/>
      <c r="Z114" s="7"/>
      <c r="AA114" s="7"/>
      <c r="AB114" s="7"/>
      <c r="AC114" s="7"/>
      <c r="AD114" s="7"/>
      <c r="AE114" s="7"/>
      <c r="AF114" s="7"/>
      <c r="AG114" s="7"/>
      <c r="AH114" s="7"/>
    </row>
    <row r="115" spans="1:34" ht="15.75" customHeight="1" x14ac:dyDescent="0.35">
      <c r="A115" s="7"/>
      <c r="B115" s="7"/>
      <c r="C115" s="7"/>
      <c r="D115" s="7"/>
      <c r="E115" s="7"/>
      <c r="F115" s="17"/>
      <c r="G115" s="490"/>
      <c r="H115" s="7"/>
      <c r="I115" s="7"/>
      <c r="J115" s="7"/>
      <c r="K115" s="7"/>
      <c r="L115" s="7"/>
      <c r="M115" s="7"/>
      <c r="N115" s="7"/>
      <c r="O115" s="7"/>
      <c r="P115" s="7"/>
      <c r="Q115" s="7"/>
      <c r="R115" s="7"/>
      <c r="S115" s="7"/>
      <c r="T115" s="7"/>
      <c r="U115" s="7"/>
      <c r="V115" s="7"/>
      <c r="W115" s="7"/>
      <c r="X115" s="7"/>
      <c r="Y115" s="7"/>
      <c r="Z115" s="7"/>
      <c r="AA115" s="7"/>
      <c r="AB115" s="7"/>
      <c r="AC115" s="7"/>
      <c r="AD115" s="7"/>
      <c r="AE115" s="7"/>
      <c r="AF115" s="7"/>
      <c r="AG115" s="7"/>
      <c r="AH115" s="7"/>
    </row>
    <row r="116" spans="1:34" ht="15.75" customHeight="1" x14ac:dyDescent="0.35">
      <c r="A116" s="7"/>
      <c r="B116" s="7"/>
      <c r="C116" s="7"/>
      <c r="D116" s="7"/>
      <c r="E116" s="7"/>
      <c r="F116" s="17"/>
      <c r="G116" s="490"/>
      <c r="H116" s="7"/>
      <c r="I116" s="7"/>
      <c r="J116" s="7"/>
      <c r="K116" s="7"/>
      <c r="L116" s="7"/>
      <c r="M116" s="7"/>
      <c r="N116" s="7"/>
      <c r="O116" s="7"/>
      <c r="P116" s="7"/>
      <c r="Q116" s="7"/>
      <c r="R116" s="7"/>
      <c r="S116" s="7"/>
      <c r="T116" s="7"/>
      <c r="U116" s="7"/>
      <c r="V116" s="7"/>
      <c r="W116" s="7"/>
      <c r="X116" s="7"/>
      <c r="Y116" s="7"/>
      <c r="Z116" s="7"/>
      <c r="AA116" s="7"/>
      <c r="AB116" s="7"/>
      <c r="AC116" s="7"/>
      <c r="AD116" s="7"/>
      <c r="AE116" s="7"/>
      <c r="AF116" s="7"/>
      <c r="AG116" s="7"/>
      <c r="AH116" s="7"/>
    </row>
    <row r="117" spans="1:34" ht="15.75" customHeight="1" x14ac:dyDescent="0.35">
      <c r="A117" s="7"/>
      <c r="B117" s="7"/>
      <c r="C117" s="7"/>
      <c r="D117" s="7"/>
      <c r="E117" s="7"/>
      <c r="F117" s="17"/>
      <c r="G117" s="490"/>
      <c r="H117" s="7"/>
      <c r="I117" s="7"/>
      <c r="J117" s="7"/>
      <c r="K117" s="7"/>
      <c r="L117" s="7"/>
      <c r="M117" s="7"/>
      <c r="N117" s="7"/>
      <c r="O117" s="7"/>
      <c r="P117" s="7"/>
      <c r="Q117" s="7"/>
      <c r="R117" s="7"/>
      <c r="S117" s="7"/>
      <c r="T117" s="7"/>
      <c r="U117" s="7"/>
      <c r="V117" s="7"/>
      <c r="W117" s="7"/>
      <c r="X117" s="7"/>
      <c r="Y117" s="7"/>
      <c r="Z117" s="7"/>
      <c r="AA117" s="7"/>
      <c r="AB117" s="7"/>
      <c r="AC117" s="7"/>
      <c r="AD117" s="7"/>
      <c r="AE117" s="7"/>
      <c r="AF117" s="7"/>
      <c r="AG117" s="7"/>
      <c r="AH117" s="7"/>
    </row>
    <row r="118" spans="1:34" ht="15.75" customHeight="1" x14ac:dyDescent="0.35">
      <c r="A118" s="7"/>
      <c r="B118" s="7"/>
      <c r="C118" s="7"/>
      <c r="D118" s="7"/>
      <c r="E118" s="7"/>
      <c r="F118" s="17"/>
      <c r="G118" s="490"/>
      <c r="H118" s="7"/>
      <c r="I118" s="7"/>
      <c r="J118" s="7"/>
      <c r="K118" s="7"/>
      <c r="L118" s="7"/>
      <c r="M118" s="7"/>
      <c r="N118" s="7"/>
      <c r="O118" s="7"/>
      <c r="P118" s="7"/>
      <c r="Q118" s="7"/>
      <c r="R118" s="7"/>
      <c r="S118" s="7"/>
      <c r="T118" s="7"/>
      <c r="U118" s="7"/>
      <c r="V118" s="7"/>
      <c r="W118" s="7"/>
      <c r="X118" s="7"/>
      <c r="Y118" s="7"/>
      <c r="Z118" s="7"/>
      <c r="AA118" s="7"/>
      <c r="AB118" s="7"/>
      <c r="AC118" s="7"/>
      <c r="AD118" s="7"/>
      <c r="AE118" s="7"/>
      <c r="AF118" s="7"/>
      <c r="AG118" s="7"/>
      <c r="AH118" s="7"/>
    </row>
    <row r="119" spans="1:34" ht="15.75" customHeight="1" x14ac:dyDescent="0.35">
      <c r="A119" s="7"/>
      <c r="B119" s="7"/>
      <c r="C119" s="7"/>
      <c r="D119" s="7"/>
      <c r="E119" s="7"/>
      <c r="F119" s="17"/>
      <c r="G119" s="490"/>
      <c r="H119" s="7"/>
      <c r="I119" s="7"/>
      <c r="J119" s="7"/>
      <c r="K119" s="7"/>
      <c r="L119" s="7"/>
      <c r="M119" s="7"/>
      <c r="N119" s="7"/>
      <c r="O119" s="7"/>
      <c r="P119" s="7"/>
      <c r="Q119" s="7"/>
      <c r="R119" s="7"/>
      <c r="S119" s="7"/>
      <c r="T119" s="7"/>
      <c r="U119" s="7"/>
      <c r="V119" s="7"/>
      <c r="W119" s="7"/>
      <c r="X119" s="7"/>
      <c r="Y119" s="7"/>
      <c r="Z119" s="7"/>
      <c r="AA119" s="7"/>
      <c r="AB119" s="7"/>
      <c r="AC119" s="7"/>
      <c r="AD119" s="7"/>
      <c r="AE119" s="7"/>
      <c r="AF119" s="7"/>
      <c r="AG119" s="7"/>
      <c r="AH119" s="7"/>
    </row>
    <row r="120" spans="1:34" ht="15.75" customHeight="1" x14ac:dyDescent="0.35">
      <c r="A120" s="7"/>
      <c r="B120" s="7"/>
      <c r="C120" s="7"/>
      <c r="D120" s="7"/>
      <c r="E120" s="7"/>
      <c r="F120" s="17"/>
      <c r="G120" s="490"/>
      <c r="H120" s="7"/>
      <c r="I120" s="7"/>
      <c r="J120" s="7"/>
      <c r="K120" s="7"/>
      <c r="L120" s="7"/>
      <c r="M120" s="7"/>
      <c r="N120" s="7"/>
      <c r="O120" s="7"/>
      <c r="P120" s="7"/>
      <c r="Q120" s="7"/>
      <c r="R120" s="7"/>
      <c r="S120" s="7"/>
      <c r="T120" s="7"/>
      <c r="U120" s="7"/>
      <c r="V120" s="7"/>
      <c r="W120" s="7"/>
      <c r="X120" s="7"/>
      <c r="Y120" s="7"/>
      <c r="Z120" s="7"/>
      <c r="AA120" s="7"/>
      <c r="AB120" s="7"/>
      <c r="AC120" s="7"/>
      <c r="AD120" s="7"/>
      <c r="AE120" s="7"/>
      <c r="AF120" s="7"/>
      <c r="AG120" s="7"/>
      <c r="AH120" s="7"/>
    </row>
    <row r="121" spans="1:34" ht="15.75" customHeight="1" x14ac:dyDescent="0.35">
      <c r="A121" s="7"/>
      <c r="B121" s="7"/>
      <c r="C121" s="7"/>
      <c r="D121" s="7"/>
      <c r="E121" s="7"/>
      <c r="F121" s="17"/>
      <c r="G121" s="490"/>
      <c r="H121" s="7"/>
      <c r="I121" s="7"/>
      <c r="J121" s="7"/>
      <c r="K121" s="7"/>
      <c r="L121" s="7"/>
      <c r="M121" s="7"/>
      <c r="N121" s="7"/>
      <c r="O121" s="7"/>
      <c r="P121" s="7"/>
      <c r="Q121" s="7"/>
      <c r="R121" s="7"/>
      <c r="S121" s="7"/>
      <c r="T121" s="7"/>
      <c r="U121" s="7"/>
      <c r="V121" s="7"/>
      <c r="W121" s="7"/>
      <c r="X121" s="7"/>
      <c r="Y121" s="7"/>
      <c r="Z121" s="7"/>
      <c r="AA121" s="7"/>
      <c r="AB121" s="7"/>
      <c r="AC121" s="7"/>
      <c r="AD121" s="7"/>
      <c r="AE121" s="7"/>
      <c r="AF121" s="7"/>
      <c r="AG121" s="7"/>
      <c r="AH121" s="7"/>
    </row>
    <row r="122" spans="1:34" ht="15.75" customHeight="1" x14ac:dyDescent="0.35">
      <c r="A122" s="7"/>
      <c r="B122" s="7"/>
      <c r="C122" s="7"/>
      <c r="D122" s="7"/>
      <c r="E122" s="7"/>
      <c r="F122" s="17"/>
      <c r="G122" s="490"/>
      <c r="H122" s="7"/>
      <c r="I122" s="7"/>
      <c r="J122" s="7"/>
      <c r="K122" s="7"/>
      <c r="L122" s="7"/>
      <c r="M122" s="7"/>
      <c r="N122" s="7"/>
      <c r="O122" s="7"/>
      <c r="P122" s="7"/>
      <c r="Q122" s="7"/>
      <c r="R122" s="7"/>
      <c r="S122" s="7"/>
      <c r="T122" s="7"/>
      <c r="U122" s="7"/>
      <c r="V122" s="7"/>
      <c r="W122" s="7"/>
      <c r="X122" s="7"/>
      <c r="Y122" s="7"/>
      <c r="Z122" s="7"/>
      <c r="AA122" s="7"/>
      <c r="AB122" s="7"/>
      <c r="AC122" s="7"/>
      <c r="AD122" s="7"/>
      <c r="AE122" s="7"/>
      <c r="AF122" s="7"/>
      <c r="AG122" s="7"/>
      <c r="AH122" s="7"/>
    </row>
    <row r="123" spans="1:34" ht="15.75" customHeight="1" x14ac:dyDescent="0.35">
      <c r="A123" s="7"/>
      <c r="B123" s="7"/>
      <c r="C123" s="7"/>
      <c r="D123" s="7"/>
      <c r="E123" s="7"/>
      <c r="F123" s="17"/>
      <c r="G123" s="490"/>
      <c r="H123" s="7"/>
      <c r="I123" s="7"/>
      <c r="J123" s="7"/>
      <c r="K123" s="7"/>
      <c r="L123" s="7"/>
      <c r="M123" s="7"/>
      <c r="N123" s="7"/>
      <c r="O123" s="7"/>
      <c r="P123" s="7"/>
      <c r="Q123" s="7"/>
      <c r="R123" s="7"/>
      <c r="S123" s="7"/>
      <c r="T123" s="7"/>
      <c r="U123" s="7"/>
      <c r="V123" s="7"/>
      <c r="W123" s="7"/>
      <c r="X123" s="7"/>
      <c r="Y123" s="7"/>
      <c r="Z123" s="7"/>
      <c r="AA123" s="7"/>
      <c r="AB123" s="7"/>
      <c r="AC123" s="7"/>
      <c r="AD123" s="7"/>
      <c r="AE123" s="7"/>
      <c r="AF123" s="7"/>
      <c r="AG123" s="7"/>
      <c r="AH123" s="7"/>
    </row>
    <row r="124" spans="1:34" ht="15.75" customHeight="1" x14ac:dyDescent="0.35">
      <c r="A124" s="7"/>
      <c r="B124" s="7"/>
      <c r="C124" s="7"/>
      <c r="D124" s="7"/>
      <c r="E124" s="7"/>
      <c r="F124" s="17"/>
      <c r="G124" s="490"/>
      <c r="H124" s="7"/>
      <c r="I124" s="7"/>
      <c r="J124" s="7"/>
      <c r="K124" s="7"/>
      <c r="L124" s="7"/>
      <c r="M124" s="7"/>
      <c r="N124" s="7"/>
      <c r="O124" s="7"/>
      <c r="P124" s="7"/>
      <c r="Q124" s="7"/>
      <c r="R124" s="7"/>
      <c r="S124" s="7"/>
      <c r="T124" s="7"/>
      <c r="U124" s="7"/>
      <c r="V124" s="7"/>
      <c r="W124" s="7"/>
      <c r="X124" s="7"/>
      <c r="Y124" s="7"/>
      <c r="Z124" s="7"/>
      <c r="AA124" s="7"/>
      <c r="AB124" s="7"/>
      <c r="AC124" s="7"/>
      <c r="AD124" s="7"/>
      <c r="AE124" s="7"/>
      <c r="AF124" s="7"/>
      <c r="AG124" s="7"/>
      <c r="AH124" s="7"/>
    </row>
    <row r="125" spans="1:34" ht="15.75" customHeight="1" x14ac:dyDescent="0.35">
      <c r="A125" s="7"/>
      <c r="B125" s="7"/>
      <c r="C125" s="7"/>
      <c r="D125" s="7"/>
      <c r="E125" s="7"/>
      <c r="F125" s="17"/>
      <c r="G125" s="490"/>
      <c r="H125" s="7"/>
      <c r="I125" s="7"/>
      <c r="J125" s="7"/>
      <c r="K125" s="7"/>
      <c r="L125" s="7"/>
      <c r="M125" s="7"/>
      <c r="N125" s="7"/>
      <c r="O125" s="7"/>
      <c r="P125" s="7"/>
      <c r="Q125" s="7"/>
      <c r="R125" s="7"/>
      <c r="S125" s="7"/>
      <c r="T125" s="7"/>
      <c r="U125" s="7"/>
      <c r="V125" s="7"/>
      <c r="W125" s="7"/>
      <c r="X125" s="7"/>
      <c r="Y125" s="7"/>
      <c r="Z125" s="7"/>
      <c r="AA125" s="7"/>
      <c r="AB125" s="7"/>
      <c r="AC125" s="7"/>
      <c r="AD125" s="7"/>
      <c r="AE125" s="7"/>
      <c r="AF125" s="7"/>
      <c r="AG125" s="7"/>
      <c r="AH125" s="7"/>
    </row>
    <row r="126" spans="1:34" ht="15.75" customHeight="1" x14ac:dyDescent="0.35">
      <c r="A126" s="7"/>
      <c r="B126" s="7"/>
      <c r="C126" s="7"/>
      <c r="D126" s="7"/>
      <c r="E126" s="7"/>
      <c r="F126" s="17"/>
      <c r="G126" s="490"/>
      <c r="H126" s="7"/>
      <c r="I126" s="7"/>
      <c r="J126" s="7"/>
      <c r="K126" s="7"/>
      <c r="L126" s="7"/>
      <c r="M126" s="7"/>
      <c r="N126" s="7"/>
      <c r="O126" s="7"/>
      <c r="P126" s="7"/>
      <c r="Q126" s="7"/>
      <c r="R126" s="7"/>
      <c r="S126" s="7"/>
      <c r="T126" s="7"/>
      <c r="U126" s="7"/>
      <c r="V126" s="7"/>
      <c r="W126" s="7"/>
      <c r="X126" s="7"/>
      <c r="Y126" s="7"/>
      <c r="Z126" s="7"/>
      <c r="AA126" s="7"/>
      <c r="AB126" s="7"/>
      <c r="AC126" s="7"/>
      <c r="AD126" s="7"/>
      <c r="AE126" s="7"/>
      <c r="AF126" s="7"/>
      <c r="AG126" s="7"/>
      <c r="AH126" s="7"/>
    </row>
    <row r="127" spans="1:34" ht="15.75" customHeight="1" x14ac:dyDescent="0.35">
      <c r="A127" s="7"/>
      <c r="B127" s="7"/>
      <c r="C127" s="7"/>
      <c r="D127" s="7"/>
      <c r="E127" s="7"/>
      <c r="F127" s="17"/>
      <c r="G127" s="490"/>
      <c r="H127" s="7"/>
      <c r="I127" s="7"/>
      <c r="J127" s="7"/>
      <c r="K127" s="7"/>
      <c r="L127" s="7"/>
      <c r="M127" s="7"/>
      <c r="N127" s="7"/>
      <c r="O127" s="7"/>
      <c r="P127" s="7"/>
      <c r="Q127" s="7"/>
      <c r="R127" s="7"/>
      <c r="S127" s="7"/>
      <c r="T127" s="7"/>
      <c r="U127" s="7"/>
      <c r="V127" s="7"/>
      <c r="W127" s="7"/>
      <c r="X127" s="7"/>
      <c r="Y127" s="7"/>
      <c r="Z127" s="7"/>
      <c r="AA127" s="7"/>
      <c r="AB127" s="7"/>
      <c r="AC127" s="7"/>
      <c r="AD127" s="7"/>
      <c r="AE127" s="7"/>
      <c r="AF127" s="7"/>
      <c r="AG127" s="7"/>
      <c r="AH127" s="7"/>
    </row>
    <row r="128" spans="1:34" ht="15.75" customHeight="1" x14ac:dyDescent="0.35">
      <c r="A128" s="7"/>
      <c r="B128" s="7"/>
      <c r="C128" s="7"/>
      <c r="D128" s="7"/>
      <c r="E128" s="7"/>
      <c r="F128" s="17"/>
      <c r="G128" s="490"/>
      <c r="H128" s="7"/>
      <c r="I128" s="7"/>
      <c r="J128" s="7"/>
      <c r="K128" s="7"/>
      <c r="L128" s="7"/>
      <c r="M128" s="7"/>
      <c r="N128" s="7"/>
      <c r="O128" s="7"/>
      <c r="P128" s="7"/>
      <c r="Q128" s="7"/>
      <c r="R128" s="7"/>
      <c r="S128" s="7"/>
      <c r="T128" s="7"/>
      <c r="U128" s="7"/>
      <c r="V128" s="7"/>
      <c r="W128" s="7"/>
      <c r="X128" s="7"/>
      <c r="Y128" s="7"/>
      <c r="Z128" s="7"/>
      <c r="AA128" s="7"/>
      <c r="AB128" s="7"/>
      <c r="AC128" s="7"/>
      <c r="AD128" s="7"/>
      <c r="AE128" s="7"/>
      <c r="AF128" s="7"/>
      <c r="AG128" s="7"/>
      <c r="AH128" s="7"/>
    </row>
    <row r="129" spans="1:34" ht="15.75" customHeight="1" x14ac:dyDescent="0.35">
      <c r="A129" s="7"/>
      <c r="B129" s="7"/>
      <c r="C129" s="7"/>
      <c r="D129" s="7"/>
      <c r="E129" s="7"/>
      <c r="F129" s="17"/>
      <c r="G129" s="490"/>
      <c r="H129" s="7"/>
      <c r="I129" s="7"/>
      <c r="J129" s="7"/>
      <c r="K129" s="7"/>
      <c r="L129" s="7"/>
      <c r="M129" s="7"/>
      <c r="N129" s="7"/>
      <c r="O129" s="7"/>
      <c r="P129" s="7"/>
      <c r="Q129" s="7"/>
      <c r="R129" s="7"/>
      <c r="S129" s="7"/>
      <c r="T129" s="7"/>
      <c r="U129" s="7"/>
      <c r="V129" s="7"/>
      <c r="W129" s="7"/>
      <c r="X129" s="7"/>
      <c r="Y129" s="7"/>
      <c r="Z129" s="7"/>
      <c r="AA129" s="7"/>
      <c r="AB129" s="7"/>
      <c r="AC129" s="7"/>
      <c r="AD129" s="7"/>
      <c r="AE129" s="7"/>
      <c r="AF129" s="7"/>
      <c r="AG129" s="7"/>
      <c r="AH129" s="7"/>
    </row>
    <row r="130" spans="1:34" ht="15.75" customHeight="1" x14ac:dyDescent="0.35">
      <c r="A130" s="7"/>
      <c r="B130" s="7"/>
      <c r="C130" s="7"/>
      <c r="D130" s="7"/>
      <c r="E130" s="7"/>
      <c r="F130" s="17"/>
      <c r="G130" s="490"/>
      <c r="H130" s="7"/>
      <c r="I130" s="7"/>
      <c r="J130" s="7"/>
      <c r="K130" s="7"/>
      <c r="L130" s="7"/>
      <c r="M130" s="7"/>
      <c r="N130" s="7"/>
      <c r="O130" s="7"/>
      <c r="P130" s="7"/>
      <c r="Q130" s="7"/>
      <c r="R130" s="7"/>
      <c r="S130" s="7"/>
      <c r="T130" s="7"/>
      <c r="U130" s="7"/>
      <c r="V130" s="7"/>
      <c r="W130" s="7"/>
      <c r="X130" s="7"/>
      <c r="Y130" s="7"/>
      <c r="Z130" s="7"/>
      <c r="AA130" s="7"/>
      <c r="AB130" s="7"/>
      <c r="AC130" s="7"/>
      <c r="AD130" s="7"/>
      <c r="AE130" s="7"/>
      <c r="AF130" s="7"/>
      <c r="AG130" s="7"/>
      <c r="AH130" s="7"/>
    </row>
    <row r="131" spans="1:34" ht="15.75" customHeight="1" x14ac:dyDescent="0.35">
      <c r="A131" s="7"/>
      <c r="B131" s="7"/>
      <c r="C131" s="7"/>
      <c r="D131" s="7"/>
      <c r="E131" s="7"/>
      <c r="F131" s="17"/>
      <c r="G131" s="490"/>
      <c r="H131" s="7"/>
      <c r="I131" s="7"/>
      <c r="J131" s="7"/>
      <c r="K131" s="7"/>
      <c r="L131" s="7"/>
      <c r="M131" s="7"/>
      <c r="N131" s="7"/>
      <c r="O131" s="7"/>
      <c r="P131" s="7"/>
      <c r="Q131" s="7"/>
      <c r="R131" s="7"/>
      <c r="S131" s="7"/>
      <c r="T131" s="7"/>
      <c r="U131" s="7"/>
      <c r="V131" s="7"/>
      <c r="W131" s="7"/>
      <c r="X131" s="7"/>
      <c r="Y131" s="7"/>
      <c r="Z131" s="7"/>
      <c r="AA131" s="7"/>
      <c r="AB131" s="7"/>
      <c r="AC131" s="7"/>
      <c r="AD131" s="7"/>
      <c r="AE131" s="7"/>
      <c r="AF131" s="7"/>
      <c r="AG131" s="7"/>
      <c r="AH131" s="7"/>
    </row>
    <row r="132" spans="1:34" ht="15.75" customHeight="1" x14ac:dyDescent="0.35">
      <c r="A132" s="7"/>
      <c r="B132" s="7"/>
      <c r="C132" s="7"/>
      <c r="D132" s="7"/>
      <c r="E132" s="7"/>
      <c r="F132" s="17"/>
      <c r="G132" s="490"/>
      <c r="H132" s="7"/>
      <c r="I132" s="7"/>
      <c r="J132" s="7"/>
      <c r="K132" s="7"/>
      <c r="L132" s="7"/>
      <c r="M132" s="7"/>
      <c r="N132" s="7"/>
      <c r="O132" s="7"/>
      <c r="P132" s="7"/>
      <c r="Q132" s="7"/>
      <c r="R132" s="7"/>
      <c r="S132" s="7"/>
      <c r="T132" s="7"/>
      <c r="U132" s="7"/>
      <c r="V132" s="7"/>
      <c r="W132" s="7"/>
      <c r="X132" s="7"/>
      <c r="Y132" s="7"/>
      <c r="Z132" s="7"/>
      <c r="AA132" s="7"/>
      <c r="AB132" s="7"/>
      <c r="AC132" s="7"/>
      <c r="AD132" s="7"/>
      <c r="AE132" s="7"/>
      <c r="AF132" s="7"/>
      <c r="AG132" s="7"/>
      <c r="AH132" s="7"/>
    </row>
    <row r="133" spans="1:34" ht="15.75" customHeight="1" x14ac:dyDescent="0.35">
      <c r="A133" s="7"/>
      <c r="B133" s="7"/>
      <c r="C133" s="7"/>
      <c r="D133" s="7"/>
      <c r="E133" s="7"/>
      <c r="F133" s="17"/>
      <c r="G133" s="490"/>
      <c r="H133" s="7"/>
      <c r="I133" s="7"/>
      <c r="J133" s="7"/>
      <c r="K133" s="7"/>
      <c r="L133" s="7"/>
      <c r="M133" s="7"/>
      <c r="N133" s="7"/>
      <c r="O133" s="7"/>
      <c r="P133" s="7"/>
      <c r="Q133" s="7"/>
      <c r="R133" s="7"/>
      <c r="S133" s="7"/>
      <c r="T133" s="7"/>
      <c r="U133" s="7"/>
      <c r="V133" s="7"/>
      <c r="W133" s="7"/>
      <c r="X133" s="7"/>
      <c r="Y133" s="7"/>
      <c r="Z133" s="7"/>
      <c r="AA133" s="7"/>
      <c r="AB133" s="7"/>
      <c r="AC133" s="7"/>
      <c r="AD133" s="7"/>
      <c r="AE133" s="7"/>
      <c r="AF133" s="7"/>
      <c r="AG133" s="7"/>
      <c r="AH133" s="7"/>
    </row>
    <row r="134" spans="1:34" ht="15.75" customHeight="1" x14ac:dyDescent="0.35">
      <c r="A134" s="7"/>
      <c r="B134" s="7"/>
      <c r="C134" s="7"/>
      <c r="D134" s="7"/>
      <c r="E134" s="7"/>
      <c r="F134" s="17"/>
      <c r="G134" s="490"/>
      <c r="H134" s="7"/>
      <c r="I134" s="7"/>
      <c r="J134" s="7"/>
      <c r="K134" s="7"/>
      <c r="L134" s="7"/>
      <c r="M134" s="7"/>
      <c r="N134" s="7"/>
      <c r="O134" s="7"/>
      <c r="P134" s="7"/>
      <c r="Q134" s="7"/>
      <c r="R134" s="7"/>
      <c r="S134" s="7"/>
      <c r="T134" s="7"/>
      <c r="U134" s="7"/>
      <c r="V134" s="7"/>
      <c r="W134" s="7"/>
      <c r="X134" s="7"/>
      <c r="Y134" s="7"/>
      <c r="Z134" s="7"/>
      <c r="AA134" s="7"/>
      <c r="AB134" s="7"/>
      <c r="AC134" s="7"/>
      <c r="AD134" s="7"/>
      <c r="AE134" s="7"/>
      <c r="AF134" s="7"/>
      <c r="AG134" s="7"/>
      <c r="AH134" s="7"/>
    </row>
    <row r="135" spans="1:34" ht="15.75" customHeight="1" x14ac:dyDescent="0.35">
      <c r="A135" s="7"/>
      <c r="B135" s="7"/>
      <c r="C135" s="7"/>
      <c r="D135" s="7"/>
      <c r="E135" s="7"/>
      <c r="F135" s="17"/>
      <c r="G135" s="490"/>
      <c r="H135" s="7"/>
      <c r="I135" s="7"/>
      <c r="J135" s="7"/>
      <c r="K135" s="7"/>
      <c r="L135" s="7"/>
      <c r="M135" s="7"/>
      <c r="N135" s="7"/>
      <c r="O135" s="7"/>
      <c r="P135" s="7"/>
      <c r="Q135" s="7"/>
      <c r="R135" s="7"/>
      <c r="S135" s="7"/>
      <c r="T135" s="7"/>
      <c r="U135" s="7"/>
      <c r="V135" s="7"/>
      <c r="W135" s="7"/>
      <c r="X135" s="7"/>
      <c r="Y135" s="7"/>
      <c r="Z135" s="7"/>
      <c r="AA135" s="7"/>
      <c r="AB135" s="7"/>
      <c r="AC135" s="7"/>
      <c r="AD135" s="7"/>
      <c r="AE135" s="7"/>
      <c r="AF135" s="7"/>
      <c r="AG135" s="7"/>
      <c r="AH135" s="7"/>
    </row>
    <row r="136" spans="1:34" ht="15.75" customHeight="1" x14ac:dyDescent="0.35">
      <c r="A136" s="7"/>
      <c r="B136" s="7"/>
      <c r="C136" s="7"/>
      <c r="D136" s="7"/>
      <c r="E136" s="7"/>
      <c r="F136" s="17"/>
      <c r="G136" s="490"/>
      <c r="H136" s="7"/>
      <c r="I136" s="7"/>
      <c r="J136" s="7"/>
      <c r="K136" s="7"/>
      <c r="L136" s="7"/>
      <c r="M136" s="7"/>
      <c r="N136" s="7"/>
      <c r="O136" s="7"/>
      <c r="P136" s="7"/>
      <c r="Q136" s="7"/>
      <c r="R136" s="7"/>
      <c r="S136" s="7"/>
      <c r="T136" s="7"/>
      <c r="U136" s="7"/>
      <c r="V136" s="7"/>
      <c r="W136" s="7"/>
      <c r="X136" s="7"/>
      <c r="Y136" s="7"/>
      <c r="Z136" s="7"/>
      <c r="AA136" s="7"/>
      <c r="AB136" s="7"/>
      <c r="AC136" s="7"/>
      <c r="AD136" s="7"/>
      <c r="AE136" s="7"/>
      <c r="AF136" s="7"/>
      <c r="AG136" s="7"/>
      <c r="AH136" s="7"/>
    </row>
    <row r="137" spans="1:34" ht="15.75" customHeight="1" x14ac:dyDescent="0.35">
      <c r="A137" s="7"/>
      <c r="B137" s="7"/>
      <c r="C137" s="7"/>
      <c r="D137" s="7"/>
      <c r="E137" s="7"/>
      <c r="F137" s="17"/>
      <c r="G137" s="490"/>
      <c r="H137" s="7"/>
      <c r="I137" s="7"/>
      <c r="J137" s="7"/>
      <c r="K137" s="7"/>
      <c r="L137" s="7"/>
      <c r="M137" s="7"/>
      <c r="N137" s="7"/>
      <c r="O137" s="7"/>
      <c r="P137" s="7"/>
      <c r="Q137" s="7"/>
      <c r="R137" s="7"/>
      <c r="S137" s="7"/>
      <c r="T137" s="7"/>
      <c r="U137" s="7"/>
      <c r="V137" s="7"/>
      <c r="W137" s="7"/>
      <c r="X137" s="7"/>
      <c r="Y137" s="7"/>
      <c r="Z137" s="7"/>
      <c r="AA137" s="7"/>
      <c r="AB137" s="7"/>
      <c r="AC137" s="7"/>
      <c r="AD137" s="7"/>
      <c r="AE137" s="7"/>
      <c r="AF137" s="7"/>
      <c r="AG137" s="7"/>
      <c r="AH137" s="7"/>
    </row>
    <row r="138" spans="1:34" ht="15.75" customHeight="1" x14ac:dyDescent="0.35">
      <c r="A138" s="7"/>
      <c r="B138" s="7"/>
      <c r="C138" s="7"/>
      <c r="D138" s="7"/>
      <c r="E138" s="7"/>
      <c r="F138" s="17"/>
      <c r="G138" s="490"/>
      <c r="H138" s="7"/>
      <c r="I138" s="7"/>
      <c r="J138" s="7"/>
      <c r="K138" s="7"/>
      <c r="L138" s="7"/>
      <c r="M138" s="7"/>
      <c r="N138" s="7"/>
      <c r="O138" s="7"/>
      <c r="P138" s="7"/>
      <c r="Q138" s="7"/>
      <c r="R138" s="7"/>
      <c r="S138" s="7"/>
      <c r="T138" s="7"/>
      <c r="U138" s="7"/>
      <c r="V138" s="7"/>
      <c r="W138" s="7"/>
      <c r="X138" s="7"/>
      <c r="Y138" s="7"/>
      <c r="Z138" s="7"/>
      <c r="AA138" s="7"/>
      <c r="AB138" s="7"/>
      <c r="AC138" s="7"/>
      <c r="AD138" s="7"/>
      <c r="AE138" s="7"/>
      <c r="AF138" s="7"/>
      <c r="AG138" s="7"/>
      <c r="AH138" s="7"/>
    </row>
    <row r="139" spans="1:34" ht="15.75" customHeight="1" x14ac:dyDescent="0.35">
      <c r="A139" s="7"/>
      <c r="B139" s="7"/>
      <c r="C139" s="7"/>
      <c r="D139" s="7"/>
      <c r="E139" s="7"/>
      <c r="F139" s="17"/>
      <c r="G139" s="490"/>
      <c r="H139" s="7"/>
      <c r="I139" s="7"/>
      <c r="J139" s="7"/>
      <c r="K139" s="7"/>
      <c r="L139" s="7"/>
      <c r="M139" s="7"/>
      <c r="N139" s="7"/>
      <c r="O139" s="7"/>
      <c r="P139" s="7"/>
      <c r="Q139" s="7"/>
      <c r="R139" s="7"/>
      <c r="S139" s="7"/>
      <c r="T139" s="7"/>
      <c r="U139" s="7"/>
      <c r="V139" s="7"/>
      <c r="W139" s="7"/>
      <c r="X139" s="7"/>
      <c r="Y139" s="7"/>
      <c r="Z139" s="7"/>
      <c r="AA139" s="7"/>
      <c r="AB139" s="7"/>
      <c r="AC139" s="7"/>
      <c r="AD139" s="7"/>
      <c r="AE139" s="7"/>
      <c r="AF139" s="7"/>
      <c r="AG139" s="7"/>
      <c r="AH139" s="7"/>
    </row>
    <row r="140" spans="1:34" ht="15.75" customHeight="1" x14ac:dyDescent="0.35">
      <c r="A140" s="7"/>
      <c r="B140" s="7"/>
      <c r="C140" s="7"/>
      <c r="D140" s="7"/>
      <c r="E140" s="7"/>
      <c r="F140" s="17"/>
      <c r="G140" s="490"/>
      <c r="H140" s="7"/>
      <c r="I140" s="7"/>
      <c r="J140" s="7"/>
      <c r="K140" s="7"/>
      <c r="L140" s="7"/>
      <c r="M140" s="7"/>
      <c r="N140" s="7"/>
      <c r="O140" s="7"/>
      <c r="P140" s="7"/>
      <c r="Q140" s="7"/>
      <c r="R140" s="7"/>
      <c r="S140" s="7"/>
      <c r="T140" s="7"/>
      <c r="U140" s="7"/>
      <c r="V140" s="7"/>
      <c r="W140" s="7"/>
      <c r="X140" s="7"/>
      <c r="Y140" s="7"/>
      <c r="Z140" s="7"/>
      <c r="AA140" s="7"/>
      <c r="AB140" s="7"/>
      <c r="AC140" s="7"/>
      <c r="AD140" s="7"/>
      <c r="AE140" s="7"/>
      <c r="AF140" s="7"/>
      <c r="AG140" s="7"/>
      <c r="AH140" s="7"/>
    </row>
    <row r="141" spans="1:34" ht="15.75" customHeight="1" x14ac:dyDescent="0.35">
      <c r="A141" s="7"/>
      <c r="B141" s="7"/>
      <c r="C141" s="7"/>
      <c r="D141" s="7"/>
      <c r="E141" s="7"/>
      <c r="F141" s="17"/>
      <c r="G141" s="490"/>
      <c r="H141" s="7"/>
      <c r="I141" s="7"/>
      <c r="J141" s="7"/>
      <c r="K141" s="7"/>
      <c r="L141" s="7"/>
      <c r="M141" s="7"/>
      <c r="N141" s="7"/>
      <c r="O141" s="7"/>
      <c r="P141" s="7"/>
      <c r="Q141" s="7"/>
      <c r="R141" s="7"/>
      <c r="S141" s="7"/>
      <c r="T141" s="7"/>
      <c r="U141" s="7"/>
      <c r="V141" s="7"/>
      <c r="W141" s="7"/>
      <c r="X141" s="7"/>
      <c r="Y141" s="7"/>
      <c r="Z141" s="7"/>
      <c r="AA141" s="7"/>
      <c r="AB141" s="7"/>
      <c r="AC141" s="7"/>
      <c r="AD141" s="7"/>
      <c r="AE141" s="7"/>
      <c r="AF141" s="7"/>
      <c r="AG141" s="7"/>
      <c r="AH141" s="7"/>
    </row>
    <row r="142" spans="1:34" ht="15.75" customHeight="1" x14ac:dyDescent="0.35">
      <c r="A142" s="7"/>
      <c r="B142" s="7"/>
      <c r="C142" s="7"/>
      <c r="D142" s="7"/>
      <c r="E142" s="7"/>
      <c r="F142" s="17"/>
      <c r="G142" s="490"/>
      <c r="H142" s="7"/>
      <c r="I142" s="7"/>
      <c r="J142" s="7"/>
      <c r="K142" s="7"/>
      <c r="L142" s="7"/>
      <c r="M142" s="7"/>
      <c r="N142" s="7"/>
      <c r="O142" s="7"/>
      <c r="P142" s="7"/>
      <c r="Q142" s="7"/>
      <c r="R142" s="7"/>
      <c r="S142" s="7"/>
      <c r="T142" s="7"/>
      <c r="U142" s="7"/>
      <c r="V142" s="7"/>
      <c r="W142" s="7"/>
      <c r="X142" s="7"/>
      <c r="Y142" s="7"/>
      <c r="Z142" s="7"/>
      <c r="AA142" s="7"/>
      <c r="AB142" s="7"/>
      <c r="AC142" s="7"/>
      <c r="AD142" s="7"/>
      <c r="AE142" s="7"/>
      <c r="AF142" s="7"/>
      <c r="AG142" s="7"/>
      <c r="AH142" s="7"/>
    </row>
    <row r="143" spans="1:34" ht="15.75" customHeight="1" x14ac:dyDescent="0.35">
      <c r="A143" s="7"/>
      <c r="B143" s="7"/>
      <c r="C143" s="7"/>
      <c r="D143" s="7"/>
      <c r="E143" s="7"/>
      <c r="F143" s="17"/>
      <c r="G143" s="490"/>
      <c r="H143" s="7"/>
      <c r="I143" s="7"/>
      <c r="J143" s="7"/>
      <c r="K143" s="7"/>
      <c r="L143" s="7"/>
      <c r="M143" s="7"/>
      <c r="N143" s="7"/>
      <c r="O143" s="7"/>
      <c r="P143" s="7"/>
      <c r="Q143" s="7"/>
      <c r="R143" s="7"/>
      <c r="S143" s="7"/>
      <c r="T143" s="7"/>
      <c r="U143" s="7"/>
      <c r="V143" s="7"/>
      <c r="W143" s="7"/>
      <c r="X143" s="7"/>
      <c r="Y143" s="7"/>
      <c r="Z143" s="7"/>
      <c r="AA143" s="7"/>
      <c r="AB143" s="7"/>
      <c r="AC143" s="7"/>
      <c r="AD143" s="7"/>
      <c r="AE143" s="7"/>
      <c r="AF143" s="7"/>
      <c r="AG143" s="7"/>
      <c r="AH143" s="7"/>
    </row>
    <row r="144" spans="1:34" ht="15.75" customHeight="1" x14ac:dyDescent="0.35">
      <c r="A144" s="7"/>
      <c r="B144" s="7"/>
      <c r="C144" s="7"/>
      <c r="D144" s="7"/>
      <c r="E144" s="7"/>
      <c r="F144" s="17"/>
      <c r="G144" s="490"/>
      <c r="H144" s="7"/>
      <c r="I144" s="7"/>
      <c r="J144" s="7"/>
      <c r="K144" s="7"/>
      <c r="L144" s="7"/>
      <c r="M144" s="7"/>
      <c r="N144" s="7"/>
      <c r="O144" s="7"/>
      <c r="P144" s="7"/>
      <c r="Q144" s="7"/>
      <c r="R144" s="7"/>
      <c r="S144" s="7"/>
      <c r="T144" s="7"/>
      <c r="U144" s="7"/>
      <c r="V144" s="7"/>
      <c r="W144" s="7"/>
      <c r="X144" s="7"/>
      <c r="Y144" s="7"/>
      <c r="Z144" s="7"/>
      <c r="AA144" s="7"/>
      <c r="AB144" s="7"/>
      <c r="AC144" s="7"/>
      <c r="AD144" s="7"/>
      <c r="AE144" s="7"/>
      <c r="AF144" s="7"/>
      <c r="AG144" s="7"/>
      <c r="AH144" s="7"/>
    </row>
    <row r="145" spans="1:34" ht="15.75" customHeight="1" x14ac:dyDescent="0.35">
      <c r="A145" s="7"/>
      <c r="B145" s="7"/>
      <c r="C145" s="7"/>
      <c r="D145" s="7"/>
      <c r="E145" s="7"/>
      <c r="F145" s="17"/>
      <c r="G145" s="490"/>
      <c r="H145" s="7"/>
      <c r="I145" s="7"/>
      <c r="J145" s="7"/>
      <c r="K145" s="7"/>
      <c r="L145" s="7"/>
      <c r="M145" s="7"/>
      <c r="N145" s="7"/>
      <c r="O145" s="7"/>
      <c r="P145" s="7"/>
      <c r="Q145" s="7"/>
      <c r="R145" s="7"/>
      <c r="S145" s="7"/>
      <c r="T145" s="7"/>
      <c r="U145" s="7"/>
      <c r="V145" s="7"/>
      <c r="W145" s="7"/>
      <c r="X145" s="7"/>
      <c r="Y145" s="7"/>
      <c r="Z145" s="7"/>
      <c r="AA145" s="7"/>
      <c r="AB145" s="7"/>
      <c r="AC145" s="7"/>
      <c r="AD145" s="7"/>
      <c r="AE145" s="7"/>
      <c r="AF145" s="7"/>
      <c r="AG145" s="7"/>
      <c r="AH145" s="7"/>
    </row>
    <row r="146" spans="1:34" ht="15.75" customHeight="1" x14ac:dyDescent="0.35">
      <c r="A146" s="7"/>
      <c r="B146" s="7"/>
      <c r="C146" s="7"/>
      <c r="D146" s="7"/>
      <c r="E146" s="7"/>
      <c r="F146" s="17"/>
      <c r="G146" s="490"/>
      <c r="H146" s="7"/>
      <c r="I146" s="7"/>
      <c r="J146" s="7"/>
      <c r="K146" s="7"/>
      <c r="L146" s="7"/>
      <c r="M146" s="7"/>
      <c r="N146" s="7"/>
      <c r="O146" s="7"/>
      <c r="P146" s="7"/>
      <c r="Q146" s="7"/>
      <c r="R146" s="7"/>
      <c r="S146" s="7"/>
      <c r="T146" s="7"/>
      <c r="U146" s="7"/>
      <c r="V146" s="7"/>
      <c r="W146" s="7"/>
      <c r="X146" s="7"/>
      <c r="Y146" s="7"/>
      <c r="Z146" s="7"/>
      <c r="AA146" s="7"/>
      <c r="AB146" s="7"/>
      <c r="AC146" s="7"/>
      <c r="AD146" s="7"/>
      <c r="AE146" s="7"/>
      <c r="AF146" s="7"/>
      <c r="AG146" s="7"/>
      <c r="AH146" s="7"/>
    </row>
    <row r="147" spans="1:34" ht="15.75" customHeight="1" x14ac:dyDescent="0.35">
      <c r="A147" s="7"/>
      <c r="B147" s="7"/>
      <c r="C147" s="7"/>
      <c r="D147" s="7"/>
      <c r="E147" s="7"/>
      <c r="F147" s="17"/>
      <c r="G147" s="490"/>
      <c r="H147" s="7"/>
      <c r="I147" s="7"/>
      <c r="J147" s="7"/>
      <c r="K147" s="7"/>
      <c r="L147" s="7"/>
      <c r="M147" s="7"/>
      <c r="N147" s="7"/>
      <c r="O147" s="7"/>
      <c r="P147" s="7"/>
      <c r="Q147" s="7"/>
      <c r="R147" s="7"/>
      <c r="S147" s="7"/>
      <c r="T147" s="7"/>
      <c r="U147" s="7"/>
      <c r="V147" s="7"/>
      <c r="W147" s="7"/>
      <c r="X147" s="7"/>
      <c r="Y147" s="7"/>
      <c r="Z147" s="7"/>
      <c r="AA147" s="7"/>
      <c r="AB147" s="7"/>
      <c r="AC147" s="7"/>
      <c r="AD147" s="7"/>
      <c r="AE147" s="7"/>
      <c r="AF147" s="7"/>
      <c r="AG147" s="7"/>
      <c r="AH147" s="7"/>
    </row>
    <row r="148" spans="1:34" ht="15.75" customHeight="1" x14ac:dyDescent="0.35">
      <c r="A148" s="7"/>
      <c r="B148" s="7"/>
      <c r="C148" s="7"/>
      <c r="D148" s="7"/>
      <c r="E148" s="7"/>
      <c r="F148" s="17"/>
      <c r="G148" s="490"/>
      <c r="H148" s="7"/>
      <c r="I148" s="7"/>
      <c r="J148" s="7"/>
      <c r="K148" s="7"/>
      <c r="L148" s="7"/>
      <c r="M148" s="7"/>
      <c r="N148" s="7"/>
      <c r="O148" s="7"/>
      <c r="P148" s="7"/>
      <c r="Q148" s="7"/>
      <c r="R148" s="7"/>
      <c r="S148" s="7"/>
      <c r="T148" s="7"/>
      <c r="U148" s="7"/>
      <c r="V148" s="7"/>
      <c r="W148" s="7"/>
      <c r="X148" s="7"/>
      <c r="Y148" s="7"/>
      <c r="Z148" s="7"/>
      <c r="AA148" s="7"/>
      <c r="AB148" s="7"/>
      <c r="AC148" s="7"/>
      <c r="AD148" s="7"/>
      <c r="AE148" s="7"/>
      <c r="AF148" s="7"/>
      <c r="AG148" s="7"/>
      <c r="AH148" s="7"/>
    </row>
    <row r="149" spans="1:34" ht="15.75" customHeight="1" x14ac:dyDescent="0.35">
      <c r="A149" s="7"/>
      <c r="B149" s="7"/>
      <c r="C149" s="7"/>
      <c r="D149" s="7"/>
      <c r="E149" s="7"/>
      <c r="F149" s="17"/>
      <c r="G149" s="490"/>
      <c r="H149" s="7"/>
      <c r="I149" s="7"/>
      <c r="J149" s="7"/>
      <c r="K149" s="7"/>
      <c r="L149" s="7"/>
      <c r="M149" s="7"/>
      <c r="N149" s="7"/>
      <c r="O149" s="7"/>
      <c r="P149" s="7"/>
      <c r="Q149" s="7"/>
      <c r="R149" s="7"/>
      <c r="S149" s="7"/>
      <c r="T149" s="7"/>
      <c r="U149" s="7"/>
      <c r="V149" s="7"/>
      <c r="W149" s="7"/>
      <c r="X149" s="7"/>
      <c r="Y149" s="7"/>
      <c r="Z149" s="7"/>
      <c r="AA149" s="7"/>
      <c r="AB149" s="7"/>
      <c r="AC149" s="7"/>
      <c r="AD149" s="7"/>
      <c r="AE149" s="7"/>
      <c r="AF149" s="7"/>
      <c r="AG149" s="7"/>
      <c r="AH149" s="7"/>
    </row>
    <row r="150" spans="1:34" ht="15.75" customHeight="1" x14ac:dyDescent="0.35">
      <c r="A150" s="7"/>
      <c r="B150" s="7"/>
      <c r="C150" s="7"/>
      <c r="D150" s="7"/>
      <c r="E150" s="7"/>
      <c r="F150" s="17"/>
      <c r="G150" s="490"/>
      <c r="H150" s="7"/>
      <c r="I150" s="7"/>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row>
    <row r="151" spans="1:34" ht="15.75" customHeight="1" x14ac:dyDescent="0.35">
      <c r="A151" s="7"/>
      <c r="B151" s="7"/>
      <c r="C151" s="7"/>
      <c r="D151" s="7"/>
      <c r="E151" s="7"/>
      <c r="F151" s="17"/>
      <c r="G151" s="490"/>
      <c r="H151" s="7"/>
      <c r="I151" s="7"/>
      <c r="J151" s="7"/>
      <c r="K151" s="7"/>
      <c r="L151" s="7"/>
      <c r="M151" s="7"/>
      <c r="N151" s="7"/>
      <c r="O151" s="7"/>
      <c r="P151" s="7"/>
      <c r="Q151" s="7"/>
      <c r="R151" s="7"/>
      <c r="S151" s="7"/>
      <c r="T151" s="7"/>
      <c r="U151" s="7"/>
      <c r="V151" s="7"/>
      <c r="W151" s="7"/>
      <c r="X151" s="7"/>
      <c r="Y151" s="7"/>
      <c r="Z151" s="7"/>
      <c r="AA151" s="7"/>
      <c r="AB151" s="7"/>
      <c r="AC151" s="7"/>
      <c r="AD151" s="7"/>
      <c r="AE151" s="7"/>
      <c r="AF151" s="7"/>
      <c r="AG151" s="7"/>
      <c r="AH151" s="7"/>
    </row>
    <row r="152" spans="1:34" ht="15.75" customHeight="1" x14ac:dyDescent="0.35">
      <c r="A152" s="7"/>
      <c r="B152" s="7"/>
      <c r="C152" s="7"/>
      <c r="D152" s="7"/>
      <c r="E152" s="7"/>
      <c r="F152" s="17"/>
      <c r="G152" s="490"/>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row>
    <row r="153" spans="1:34" ht="15.75" customHeight="1" x14ac:dyDescent="0.35">
      <c r="A153" s="7"/>
      <c r="B153" s="7"/>
      <c r="C153" s="7"/>
      <c r="D153" s="7"/>
      <c r="E153" s="7"/>
      <c r="F153" s="17"/>
      <c r="G153" s="490"/>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row>
    <row r="154" spans="1:34" ht="15.75" customHeight="1" x14ac:dyDescent="0.35">
      <c r="A154" s="7"/>
      <c r="B154" s="7"/>
      <c r="C154" s="7"/>
      <c r="D154" s="7"/>
      <c r="E154" s="7"/>
      <c r="F154" s="17"/>
      <c r="G154" s="490"/>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row>
    <row r="155" spans="1:34" ht="15.75" customHeight="1" x14ac:dyDescent="0.35">
      <c r="A155" s="7"/>
      <c r="B155" s="7"/>
      <c r="C155" s="7"/>
      <c r="D155" s="7"/>
      <c r="E155" s="7"/>
      <c r="F155" s="17"/>
      <c r="G155" s="490"/>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row>
    <row r="156" spans="1:34" ht="15.75" customHeight="1" x14ac:dyDescent="0.35">
      <c r="A156" s="7"/>
      <c r="B156" s="7"/>
      <c r="C156" s="7"/>
      <c r="D156" s="7"/>
      <c r="E156" s="7"/>
      <c r="F156" s="17"/>
      <c r="G156" s="490"/>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row>
    <row r="157" spans="1:34" ht="15.75" customHeight="1" x14ac:dyDescent="0.35">
      <c r="A157" s="7"/>
      <c r="B157" s="7"/>
      <c r="C157" s="7"/>
      <c r="D157" s="7"/>
      <c r="E157" s="7"/>
      <c r="F157" s="17"/>
      <c r="G157" s="490"/>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row>
    <row r="158" spans="1:34" ht="15.75" customHeight="1" x14ac:dyDescent="0.35">
      <c r="A158" s="7"/>
      <c r="B158" s="7"/>
      <c r="C158" s="7"/>
      <c r="D158" s="7"/>
      <c r="E158" s="7"/>
      <c r="F158" s="17"/>
      <c r="G158" s="490"/>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row>
    <row r="159" spans="1:34" ht="15.75" customHeight="1" x14ac:dyDescent="0.35">
      <c r="A159" s="7"/>
      <c r="B159" s="7"/>
      <c r="C159" s="7"/>
      <c r="D159" s="7"/>
      <c r="E159" s="7"/>
      <c r="F159" s="17"/>
      <c r="G159" s="490"/>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row>
    <row r="160" spans="1:34" ht="15.75" customHeight="1" x14ac:dyDescent="0.35">
      <c r="A160" s="7"/>
      <c r="B160" s="7"/>
      <c r="C160" s="7"/>
      <c r="D160" s="7"/>
      <c r="E160" s="7"/>
      <c r="F160" s="17"/>
      <c r="G160" s="490"/>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row>
    <row r="161" spans="1:34" ht="15.75" customHeight="1" x14ac:dyDescent="0.35">
      <c r="A161" s="7"/>
      <c r="B161" s="7"/>
      <c r="C161" s="7"/>
      <c r="D161" s="7"/>
      <c r="E161" s="7"/>
      <c r="F161" s="17"/>
      <c r="G161" s="490"/>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row>
    <row r="162" spans="1:34" ht="15.75" customHeight="1" x14ac:dyDescent="0.35">
      <c r="A162" s="7"/>
      <c r="B162" s="7"/>
      <c r="C162" s="7"/>
      <c r="D162" s="7"/>
      <c r="E162" s="7"/>
      <c r="F162" s="17"/>
      <c r="G162" s="490"/>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row>
    <row r="163" spans="1:34" ht="15.75" customHeight="1" x14ac:dyDescent="0.35">
      <c r="A163" s="7"/>
      <c r="B163" s="7"/>
      <c r="C163" s="7"/>
      <c r="D163" s="7"/>
      <c r="E163" s="7"/>
      <c r="F163" s="17"/>
      <c r="G163" s="490"/>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row>
    <row r="164" spans="1:34" ht="15.75" customHeight="1" x14ac:dyDescent="0.35">
      <c r="A164" s="7"/>
      <c r="B164" s="7"/>
      <c r="C164" s="7"/>
      <c r="D164" s="7"/>
      <c r="E164" s="7"/>
      <c r="F164" s="17"/>
      <c r="G164" s="490"/>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row>
    <row r="165" spans="1:34" ht="15.75" customHeight="1" x14ac:dyDescent="0.35">
      <c r="A165" s="7"/>
      <c r="B165" s="7"/>
      <c r="C165" s="7"/>
      <c r="D165" s="7"/>
      <c r="E165" s="7"/>
      <c r="F165" s="17"/>
      <c r="G165" s="490"/>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row>
    <row r="166" spans="1:34" ht="15.75" customHeight="1" x14ac:dyDescent="0.35">
      <c r="A166" s="7"/>
      <c r="B166" s="7"/>
      <c r="C166" s="7"/>
      <c r="D166" s="7"/>
      <c r="E166" s="7"/>
      <c r="F166" s="17"/>
      <c r="G166" s="490"/>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row>
    <row r="167" spans="1:34" ht="15.75" customHeight="1" x14ac:dyDescent="0.35">
      <c r="A167" s="7"/>
      <c r="B167" s="7"/>
      <c r="C167" s="7"/>
      <c r="D167" s="7"/>
      <c r="E167" s="7"/>
      <c r="F167" s="17"/>
      <c r="G167" s="490"/>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row>
    <row r="168" spans="1:34" ht="15.75" customHeight="1" x14ac:dyDescent="0.35">
      <c r="A168" s="7"/>
      <c r="B168" s="7"/>
      <c r="C168" s="7"/>
      <c r="D168" s="7"/>
      <c r="E168" s="7"/>
      <c r="F168" s="17"/>
      <c r="G168" s="490"/>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row>
    <row r="169" spans="1:34" ht="15.75" customHeight="1" x14ac:dyDescent="0.35">
      <c r="A169" s="7"/>
      <c r="B169" s="7"/>
      <c r="C169" s="7"/>
      <c r="D169" s="7"/>
      <c r="E169" s="7"/>
      <c r="F169" s="17"/>
      <c r="G169" s="490"/>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row>
    <row r="170" spans="1:34" ht="15.75" customHeight="1" x14ac:dyDescent="0.35">
      <c r="A170" s="7"/>
      <c r="B170" s="7"/>
      <c r="C170" s="7"/>
      <c r="D170" s="7"/>
      <c r="E170" s="7"/>
      <c r="F170" s="17"/>
      <c r="G170" s="490"/>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row>
    <row r="171" spans="1:34" ht="15.75" customHeight="1" x14ac:dyDescent="0.35">
      <c r="A171" s="7"/>
      <c r="B171" s="7"/>
      <c r="C171" s="7"/>
      <c r="D171" s="7"/>
      <c r="E171" s="7"/>
      <c r="F171" s="17"/>
      <c r="G171" s="490"/>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row>
    <row r="172" spans="1:34" ht="15.75" customHeight="1" x14ac:dyDescent="0.35">
      <c r="A172" s="7"/>
      <c r="B172" s="7"/>
      <c r="C172" s="7"/>
      <c r="D172" s="7"/>
      <c r="E172" s="7"/>
      <c r="F172" s="17"/>
      <c r="G172" s="490"/>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row>
    <row r="173" spans="1:34" ht="15.75" customHeight="1" x14ac:dyDescent="0.35">
      <c r="A173" s="7"/>
      <c r="B173" s="7"/>
      <c r="C173" s="7"/>
      <c r="D173" s="7"/>
      <c r="E173" s="7"/>
      <c r="F173" s="17"/>
      <c r="G173" s="490"/>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row>
    <row r="174" spans="1:34" ht="15.75" customHeight="1" x14ac:dyDescent="0.35">
      <c r="A174" s="7"/>
      <c r="B174" s="7"/>
      <c r="C174" s="7"/>
      <c r="D174" s="7"/>
      <c r="E174" s="7"/>
      <c r="F174" s="17"/>
      <c r="G174" s="490"/>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row>
    <row r="175" spans="1:34" ht="15.75" customHeight="1" x14ac:dyDescent="0.35">
      <c r="A175" s="7"/>
      <c r="B175" s="7"/>
      <c r="C175" s="7"/>
      <c r="D175" s="7"/>
      <c r="E175" s="7"/>
      <c r="F175" s="17"/>
      <c r="G175" s="490"/>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row>
    <row r="176" spans="1:34" ht="15.75" customHeight="1" x14ac:dyDescent="0.35">
      <c r="A176" s="7"/>
      <c r="B176" s="7"/>
      <c r="C176" s="7"/>
      <c r="D176" s="7"/>
      <c r="E176" s="7"/>
      <c r="F176" s="17"/>
      <c r="G176" s="490"/>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row>
    <row r="177" spans="1:34" ht="15.75" customHeight="1" x14ac:dyDescent="0.35">
      <c r="A177" s="7"/>
      <c r="B177" s="7"/>
      <c r="C177" s="7"/>
      <c r="D177" s="7"/>
      <c r="E177" s="7"/>
      <c r="F177" s="17"/>
      <c r="G177" s="490"/>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row>
    <row r="178" spans="1:34" ht="15.75" customHeight="1" x14ac:dyDescent="0.35">
      <c r="A178" s="7"/>
      <c r="B178" s="7"/>
      <c r="C178" s="7"/>
      <c r="D178" s="7"/>
      <c r="E178" s="7"/>
      <c r="F178" s="17"/>
      <c r="G178" s="490"/>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row>
    <row r="179" spans="1:34" ht="15.75" customHeight="1" x14ac:dyDescent="0.35">
      <c r="A179" s="7"/>
      <c r="B179" s="7"/>
      <c r="C179" s="7"/>
      <c r="D179" s="7"/>
      <c r="E179" s="7"/>
      <c r="F179" s="17"/>
      <c r="G179" s="490"/>
      <c r="H179" s="7"/>
      <c r="I179" s="7"/>
      <c r="J179" s="7"/>
      <c r="K179" s="7"/>
      <c r="L179" s="7"/>
      <c r="M179" s="7"/>
      <c r="N179" s="7"/>
      <c r="O179" s="7"/>
      <c r="P179" s="7"/>
      <c r="Q179" s="7"/>
      <c r="R179" s="7"/>
      <c r="S179" s="7"/>
      <c r="T179" s="7"/>
      <c r="U179" s="7"/>
      <c r="V179" s="7"/>
      <c r="W179" s="7"/>
      <c r="X179" s="7"/>
      <c r="Y179" s="7"/>
      <c r="Z179" s="7"/>
      <c r="AA179" s="7"/>
      <c r="AB179" s="7"/>
      <c r="AC179" s="7"/>
      <c r="AD179" s="7"/>
      <c r="AE179" s="7"/>
      <c r="AF179" s="7"/>
      <c r="AG179" s="7"/>
      <c r="AH179" s="7"/>
    </row>
    <row r="180" spans="1:34" ht="15.75" customHeight="1" x14ac:dyDescent="0.35">
      <c r="A180" s="7"/>
      <c r="B180" s="7"/>
      <c r="C180" s="7"/>
      <c r="D180" s="7"/>
      <c r="E180" s="7"/>
      <c r="F180" s="17"/>
      <c r="G180" s="490"/>
      <c r="H180" s="7"/>
      <c r="I180" s="7"/>
      <c r="J180" s="7"/>
      <c r="K180" s="7"/>
      <c r="L180" s="7"/>
      <c r="M180" s="7"/>
      <c r="N180" s="7"/>
      <c r="O180" s="7"/>
      <c r="P180" s="7"/>
      <c r="Q180" s="7"/>
      <c r="R180" s="7"/>
      <c r="S180" s="7"/>
      <c r="T180" s="7"/>
      <c r="U180" s="7"/>
      <c r="V180" s="7"/>
      <c r="W180" s="7"/>
      <c r="X180" s="7"/>
      <c r="Y180" s="7"/>
      <c r="Z180" s="7"/>
      <c r="AA180" s="7"/>
      <c r="AB180" s="7"/>
      <c r="AC180" s="7"/>
      <c r="AD180" s="7"/>
      <c r="AE180" s="7"/>
      <c r="AF180" s="7"/>
      <c r="AG180" s="7"/>
      <c r="AH180" s="7"/>
    </row>
    <row r="181" spans="1:34" ht="15.75" customHeight="1" x14ac:dyDescent="0.35">
      <c r="A181" s="7"/>
      <c r="B181" s="7"/>
      <c r="C181" s="7"/>
      <c r="D181" s="7"/>
      <c r="E181" s="7"/>
      <c r="F181" s="17"/>
      <c r="G181" s="490"/>
      <c r="H181" s="7"/>
      <c r="I181" s="7"/>
      <c r="J181" s="7"/>
      <c r="K181" s="7"/>
      <c r="L181" s="7"/>
      <c r="M181" s="7"/>
      <c r="N181" s="7"/>
      <c r="O181" s="7"/>
      <c r="P181" s="7"/>
      <c r="Q181" s="7"/>
      <c r="R181" s="7"/>
      <c r="S181" s="7"/>
      <c r="T181" s="7"/>
      <c r="U181" s="7"/>
      <c r="V181" s="7"/>
      <c r="W181" s="7"/>
      <c r="X181" s="7"/>
      <c r="Y181" s="7"/>
      <c r="Z181" s="7"/>
      <c r="AA181" s="7"/>
      <c r="AB181" s="7"/>
      <c r="AC181" s="7"/>
      <c r="AD181" s="7"/>
      <c r="AE181" s="7"/>
      <c r="AF181" s="7"/>
      <c r="AG181" s="7"/>
      <c r="AH181" s="7"/>
    </row>
    <row r="182" spans="1:34" ht="15.75" customHeight="1" x14ac:dyDescent="0.35">
      <c r="A182" s="7"/>
      <c r="B182" s="7"/>
      <c r="C182" s="7"/>
      <c r="D182" s="7"/>
      <c r="E182" s="7"/>
      <c r="F182" s="17"/>
      <c r="G182" s="490"/>
      <c r="H182" s="7"/>
      <c r="I182" s="7"/>
      <c r="J182" s="7"/>
      <c r="K182" s="7"/>
      <c r="L182" s="7"/>
      <c r="M182" s="7"/>
      <c r="N182" s="7"/>
      <c r="O182" s="7"/>
      <c r="P182" s="7"/>
      <c r="Q182" s="7"/>
      <c r="R182" s="7"/>
      <c r="S182" s="7"/>
      <c r="T182" s="7"/>
      <c r="U182" s="7"/>
      <c r="V182" s="7"/>
      <c r="W182" s="7"/>
      <c r="X182" s="7"/>
      <c r="Y182" s="7"/>
      <c r="Z182" s="7"/>
      <c r="AA182" s="7"/>
      <c r="AB182" s="7"/>
      <c r="AC182" s="7"/>
      <c r="AD182" s="7"/>
      <c r="AE182" s="7"/>
      <c r="AF182" s="7"/>
      <c r="AG182" s="7"/>
      <c r="AH182" s="7"/>
    </row>
    <row r="183" spans="1:34" ht="15.75" customHeight="1" x14ac:dyDescent="0.35">
      <c r="A183" s="7"/>
      <c r="B183" s="7"/>
      <c r="C183" s="7"/>
      <c r="D183" s="7"/>
      <c r="E183" s="7"/>
      <c r="F183" s="17"/>
      <c r="G183" s="490"/>
      <c r="H183" s="7"/>
      <c r="I183" s="7"/>
      <c r="J183" s="7"/>
      <c r="K183" s="7"/>
      <c r="L183" s="7"/>
      <c r="M183" s="7"/>
      <c r="N183" s="7"/>
      <c r="O183" s="7"/>
      <c r="P183" s="7"/>
      <c r="Q183" s="7"/>
      <c r="R183" s="7"/>
      <c r="S183" s="7"/>
      <c r="T183" s="7"/>
      <c r="U183" s="7"/>
      <c r="V183" s="7"/>
      <c r="W183" s="7"/>
      <c r="X183" s="7"/>
      <c r="Y183" s="7"/>
      <c r="Z183" s="7"/>
      <c r="AA183" s="7"/>
      <c r="AB183" s="7"/>
      <c r="AC183" s="7"/>
      <c r="AD183" s="7"/>
      <c r="AE183" s="7"/>
      <c r="AF183" s="7"/>
      <c r="AG183" s="7"/>
      <c r="AH183" s="7"/>
    </row>
    <row r="184" spans="1:34" ht="15.75" customHeight="1" x14ac:dyDescent="0.35">
      <c r="A184" s="7"/>
      <c r="B184" s="7"/>
      <c r="C184" s="7"/>
      <c r="D184" s="7"/>
      <c r="E184" s="7"/>
      <c r="F184" s="17"/>
      <c r="G184" s="490"/>
      <c r="H184" s="7"/>
      <c r="I184" s="7"/>
      <c r="J184" s="7"/>
      <c r="K184" s="7"/>
      <c r="L184" s="7"/>
      <c r="M184" s="7"/>
      <c r="N184" s="7"/>
      <c r="O184" s="7"/>
      <c r="P184" s="7"/>
      <c r="Q184" s="7"/>
      <c r="R184" s="7"/>
      <c r="S184" s="7"/>
      <c r="T184" s="7"/>
      <c r="U184" s="7"/>
      <c r="V184" s="7"/>
      <c r="W184" s="7"/>
      <c r="X184" s="7"/>
      <c r="Y184" s="7"/>
      <c r="Z184" s="7"/>
      <c r="AA184" s="7"/>
      <c r="AB184" s="7"/>
      <c r="AC184" s="7"/>
      <c r="AD184" s="7"/>
      <c r="AE184" s="7"/>
      <c r="AF184" s="7"/>
      <c r="AG184" s="7"/>
      <c r="AH184" s="7"/>
    </row>
    <row r="185" spans="1:34" ht="15.75" customHeight="1" x14ac:dyDescent="0.35">
      <c r="A185" s="7"/>
      <c r="B185" s="7"/>
      <c r="C185" s="7"/>
      <c r="D185" s="7"/>
      <c r="E185" s="7"/>
      <c r="F185" s="17"/>
      <c r="G185" s="490"/>
      <c r="H185" s="7"/>
      <c r="I185" s="7"/>
      <c r="J185" s="7"/>
      <c r="K185" s="7"/>
      <c r="L185" s="7"/>
      <c r="M185" s="7"/>
      <c r="N185" s="7"/>
      <c r="O185" s="7"/>
      <c r="P185" s="7"/>
      <c r="Q185" s="7"/>
      <c r="R185" s="7"/>
      <c r="S185" s="7"/>
      <c r="T185" s="7"/>
      <c r="U185" s="7"/>
      <c r="V185" s="7"/>
      <c r="W185" s="7"/>
      <c r="X185" s="7"/>
      <c r="Y185" s="7"/>
      <c r="Z185" s="7"/>
      <c r="AA185" s="7"/>
      <c r="AB185" s="7"/>
      <c r="AC185" s="7"/>
      <c r="AD185" s="7"/>
      <c r="AE185" s="7"/>
      <c r="AF185" s="7"/>
      <c r="AG185" s="7"/>
      <c r="AH185" s="7"/>
    </row>
    <row r="186" spans="1:34" ht="15.75" customHeight="1" x14ac:dyDescent="0.35">
      <c r="A186" s="7"/>
      <c r="B186" s="7"/>
      <c r="C186" s="7"/>
      <c r="D186" s="7"/>
      <c r="E186" s="7"/>
      <c r="F186" s="17"/>
      <c r="G186" s="490"/>
      <c r="H186" s="7"/>
      <c r="I186" s="7"/>
      <c r="J186" s="7"/>
      <c r="K186" s="7"/>
      <c r="L186" s="7"/>
      <c r="M186" s="7"/>
      <c r="N186" s="7"/>
      <c r="O186" s="7"/>
      <c r="P186" s="7"/>
      <c r="Q186" s="7"/>
      <c r="R186" s="7"/>
      <c r="S186" s="7"/>
      <c r="T186" s="7"/>
      <c r="U186" s="7"/>
      <c r="V186" s="7"/>
      <c r="W186" s="7"/>
      <c r="X186" s="7"/>
      <c r="Y186" s="7"/>
      <c r="Z186" s="7"/>
      <c r="AA186" s="7"/>
      <c r="AB186" s="7"/>
      <c r="AC186" s="7"/>
      <c r="AD186" s="7"/>
      <c r="AE186" s="7"/>
      <c r="AF186" s="7"/>
      <c r="AG186" s="7"/>
      <c r="AH186" s="7"/>
    </row>
    <row r="187" spans="1:34" ht="15.75" customHeight="1" x14ac:dyDescent="0.35">
      <c r="A187" s="7"/>
      <c r="B187" s="7"/>
      <c r="C187" s="7"/>
      <c r="D187" s="7"/>
      <c r="E187" s="7"/>
      <c r="F187" s="17"/>
      <c r="G187" s="490"/>
      <c r="H187" s="7"/>
      <c r="I187" s="7"/>
      <c r="J187" s="7"/>
      <c r="K187" s="7"/>
      <c r="L187" s="7"/>
      <c r="M187" s="7"/>
      <c r="N187" s="7"/>
      <c r="O187" s="7"/>
      <c r="P187" s="7"/>
      <c r="Q187" s="7"/>
      <c r="R187" s="7"/>
      <c r="S187" s="7"/>
      <c r="T187" s="7"/>
      <c r="U187" s="7"/>
      <c r="V187" s="7"/>
      <c r="W187" s="7"/>
      <c r="X187" s="7"/>
      <c r="Y187" s="7"/>
      <c r="Z187" s="7"/>
      <c r="AA187" s="7"/>
      <c r="AB187" s="7"/>
      <c r="AC187" s="7"/>
      <c r="AD187" s="7"/>
      <c r="AE187" s="7"/>
      <c r="AF187" s="7"/>
      <c r="AG187" s="7"/>
      <c r="AH187" s="7"/>
    </row>
    <row r="188" spans="1:34" ht="15.75" customHeight="1" x14ac:dyDescent="0.35">
      <c r="A188" s="7"/>
      <c r="B188" s="7"/>
      <c r="C188" s="7"/>
      <c r="D188" s="7"/>
      <c r="E188" s="7"/>
      <c r="F188" s="17"/>
      <c r="G188" s="490"/>
      <c r="H188" s="7"/>
      <c r="I188" s="7"/>
      <c r="J188" s="7"/>
      <c r="K188" s="7"/>
      <c r="L188" s="7"/>
      <c r="M188" s="7"/>
      <c r="N188" s="7"/>
      <c r="O188" s="7"/>
      <c r="P188" s="7"/>
      <c r="Q188" s="7"/>
      <c r="R188" s="7"/>
      <c r="S188" s="7"/>
      <c r="T188" s="7"/>
      <c r="U188" s="7"/>
      <c r="V188" s="7"/>
      <c r="W188" s="7"/>
      <c r="X188" s="7"/>
      <c r="Y188" s="7"/>
      <c r="Z188" s="7"/>
      <c r="AA188" s="7"/>
      <c r="AB188" s="7"/>
      <c r="AC188" s="7"/>
      <c r="AD188" s="7"/>
      <c r="AE188" s="7"/>
      <c r="AF188" s="7"/>
      <c r="AG188" s="7"/>
      <c r="AH188" s="7"/>
    </row>
    <row r="189" spans="1:34" ht="15.75" customHeight="1" x14ac:dyDescent="0.35">
      <c r="A189" s="7"/>
      <c r="B189" s="7"/>
      <c r="C189" s="7"/>
      <c r="D189" s="7"/>
      <c r="E189" s="7"/>
      <c r="F189" s="17"/>
      <c r="G189" s="490"/>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c r="AG189" s="7"/>
      <c r="AH189" s="7"/>
    </row>
    <row r="190" spans="1:34" ht="15.75" customHeight="1" x14ac:dyDescent="0.35">
      <c r="A190" s="7"/>
      <c r="B190" s="7"/>
      <c r="C190" s="7"/>
      <c r="D190" s="7"/>
      <c r="E190" s="7"/>
      <c r="F190" s="17"/>
      <c r="G190" s="490"/>
      <c r="H190" s="7"/>
      <c r="I190" s="7"/>
      <c r="J190" s="7"/>
      <c r="K190" s="7"/>
      <c r="L190" s="7"/>
      <c r="M190" s="7"/>
      <c r="N190" s="7"/>
      <c r="O190" s="7"/>
      <c r="P190" s="7"/>
      <c r="Q190" s="7"/>
      <c r="R190" s="7"/>
      <c r="S190" s="7"/>
      <c r="T190" s="7"/>
      <c r="U190" s="7"/>
      <c r="V190" s="7"/>
      <c r="W190" s="7"/>
      <c r="X190" s="7"/>
      <c r="Y190" s="7"/>
      <c r="Z190" s="7"/>
      <c r="AA190" s="7"/>
      <c r="AB190" s="7"/>
      <c r="AC190" s="7"/>
      <c r="AD190" s="7"/>
      <c r="AE190" s="7"/>
      <c r="AF190" s="7"/>
      <c r="AG190" s="7"/>
      <c r="AH190" s="7"/>
    </row>
    <row r="191" spans="1:34" ht="15.75" customHeight="1" x14ac:dyDescent="0.35">
      <c r="A191" s="7"/>
      <c r="B191" s="7"/>
      <c r="C191" s="7"/>
      <c r="D191" s="7"/>
      <c r="E191" s="7"/>
      <c r="F191" s="17"/>
      <c r="G191" s="490"/>
      <c r="H191" s="7"/>
      <c r="I191" s="7"/>
      <c r="J191" s="7"/>
      <c r="K191" s="7"/>
      <c r="L191" s="7"/>
      <c r="M191" s="7"/>
      <c r="N191" s="7"/>
      <c r="O191" s="7"/>
      <c r="P191" s="7"/>
      <c r="Q191" s="7"/>
      <c r="R191" s="7"/>
      <c r="S191" s="7"/>
      <c r="T191" s="7"/>
      <c r="U191" s="7"/>
      <c r="V191" s="7"/>
      <c r="W191" s="7"/>
      <c r="X191" s="7"/>
      <c r="Y191" s="7"/>
      <c r="Z191" s="7"/>
      <c r="AA191" s="7"/>
      <c r="AB191" s="7"/>
      <c r="AC191" s="7"/>
      <c r="AD191" s="7"/>
      <c r="AE191" s="7"/>
      <c r="AF191" s="7"/>
      <c r="AG191" s="7"/>
      <c r="AH191" s="7"/>
    </row>
    <row r="192" spans="1:34" ht="15.75" customHeight="1" x14ac:dyDescent="0.35">
      <c r="A192" s="7"/>
      <c r="B192" s="7"/>
      <c r="C192" s="7"/>
      <c r="D192" s="7"/>
      <c r="E192" s="7"/>
      <c r="F192" s="17"/>
      <c r="G192" s="490"/>
      <c r="H192" s="7"/>
      <c r="I192" s="7"/>
      <c r="J192" s="7"/>
      <c r="K192" s="7"/>
      <c r="L192" s="7"/>
      <c r="M192" s="7"/>
      <c r="N192" s="7"/>
      <c r="O192" s="7"/>
      <c r="P192" s="7"/>
      <c r="Q192" s="7"/>
      <c r="R192" s="7"/>
      <c r="S192" s="7"/>
      <c r="T192" s="7"/>
      <c r="U192" s="7"/>
      <c r="V192" s="7"/>
      <c r="W192" s="7"/>
      <c r="X192" s="7"/>
      <c r="Y192" s="7"/>
      <c r="Z192" s="7"/>
      <c r="AA192" s="7"/>
      <c r="AB192" s="7"/>
      <c r="AC192" s="7"/>
      <c r="AD192" s="7"/>
      <c r="AE192" s="7"/>
      <c r="AF192" s="7"/>
      <c r="AG192" s="7"/>
      <c r="AH192" s="7"/>
    </row>
    <row r="193" spans="1:34" ht="15.75" customHeight="1" x14ac:dyDescent="0.35">
      <c r="A193" s="7"/>
      <c r="B193" s="7"/>
      <c r="C193" s="7"/>
      <c r="D193" s="7"/>
      <c r="E193" s="7"/>
      <c r="F193" s="17"/>
      <c r="G193" s="490"/>
      <c r="H193" s="7"/>
      <c r="I193" s="7"/>
      <c r="J193" s="7"/>
      <c r="K193" s="7"/>
      <c r="L193" s="7"/>
      <c r="M193" s="7"/>
      <c r="N193" s="7"/>
      <c r="O193" s="7"/>
      <c r="P193" s="7"/>
      <c r="Q193" s="7"/>
      <c r="R193" s="7"/>
      <c r="S193" s="7"/>
      <c r="T193" s="7"/>
      <c r="U193" s="7"/>
      <c r="V193" s="7"/>
      <c r="W193" s="7"/>
      <c r="X193" s="7"/>
      <c r="Y193" s="7"/>
      <c r="Z193" s="7"/>
      <c r="AA193" s="7"/>
      <c r="AB193" s="7"/>
      <c r="AC193" s="7"/>
      <c r="AD193" s="7"/>
      <c r="AE193" s="7"/>
      <c r="AF193" s="7"/>
      <c r="AG193" s="7"/>
      <c r="AH193" s="7"/>
    </row>
    <row r="194" spans="1:34" ht="15.75" customHeight="1" x14ac:dyDescent="0.35">
      <c r="A194" s="7"/>
      <c r="B194" s="7"/>
      <c r="C194" s="7"/>
      <c r="D194" s="7"/>
      <c r="E194" s="7"/>
      <c r="F194" s="17"/>
      <c r="G194" s="490"/>
      <c r="H194" s="7"/>
      <c r="I194" s="7"/>
      <c r="J194" s="7"/>
      <c r="K194" s="7"/>
      <c r="L194" s="7"/>
      <c r="M194" s="7"/>
      <c r="N194" s="7"/>
      <c r="O194" s="7"/>
      <c r="P194" s="7"/>
      <c r="Q194" s="7"/>
      <c r="R194" s="7"/>
      <c r="S194" s="7"/>
      <c r="T194" s="7"/>
      <c r="U194" s="7"/>
      <c r="V194" s="7"/>
      <c r="W194" s="7"/>
      <c r="X194" s="7"/>
      <c r="Y194" s="7"/>
      <c r="Z194" s="7"/>
      <c r="AA194" s="7"/>
      <c r="AB194" s="7"/>
      <c r="AC194" s="7"/>
      <c r="AD194" s="7"/>
      <c r="AE194" s="7"/>
      <c r="AF194" s="7"/>
      <c r="AG194" s="7"/>
      <c r="AH194" s="7"/>
    </row>
    <row r="195" spans="1:34" ht="15.75" customHeight="1" x14ac:dyDescent="0.35">
      <c r="A195" s="7"/>
      <c r="B195" s="7"/>
      <c r="C195" s="7"/>
      <c r="D195" s="7"/>
      <c r="E195" s="7"/>
      <c r="F195" s="17"/>
      <c r="G195" s="490"/>
      <c r="H195" s="7"/>
      <c r="I195" s="7"/>
      <c r="J195" s="7"/>
      <c r="K195" s="7"/>
      <c r="L195" s="7"/>
      <c r="M195" s="7"/>
      <c r="N195" s="7"/>
      <c r="O195" s="7"/>
      <c r="P195" s="7"/>
      <c r="Q195" s="7"/>
      <c r="R195" s="7"/>
      <c r="S195" s="7"/>
      <c r="T195" s="7"/>
      <c r="U195" s="7"/>
      <c r="V195" s="7"/>
      <c r="W195" s="7"/>
      <c r="X195" s="7"/>
      <c r="Y195" s="7"/>
      <c r="Z195" s="7"/>
      <c r="AA195" s="7"/>
      <c r="AB195" s="7"/>
      <c r="AC195" s="7"/>
      <c r="AD195" s="7"/>
      <c r="AE195" s="7"/>
      <c r="AF195" s="7"/>
      <c r="AG195" s="7"/>
      <c r="AH195" s="7"/>
    </row>
    <row r="196" spans="1:34" ht="15.75" customHeight="1" x14ac:dyDescent="0.35">
      <c r="A196" s="7"/>
      <c r="B196" s="7"/>
      <c r="C196" s="7"/>
      <c r="D196" s="7"/>
      <c r="E196" s="7"/>
      <c r="F196" s="17"/>
      <c r="G196" s="490"/>
      <c r="H196" s="7"/>
      <c r="I196" s="7"/>
      <c r="J196" s="7"/>
      <c r="K196" s="7"/>
      <c r="L196" s="7"/>
      <c r="M196" s="7"/>
      <c r="N196" s="7"/>
      <c r="O196" s="7"/>
      <c r="P196" s="7"/>
      <c r="Q196" s="7"/>
      <c r="R196" s="7"/>
      <c r="S196" s="7"/>
      <c r="T196" s="7"/>
      <c r="U196" s="7"/>
      <c r="V196" s="7"/>
      <c r="W196" s="7"/>
      <c r="X196" s="7"/>
      <c r="Y196" s="7"/>
      <c r="Z196" s="7"/>
      <c r="AA196" s="7"/>
      <c r="AB196" s="7"/>
      <c r="AC196" s="7"/>
      <c r="AD196" s="7"/>
      <c r="AE196" s="7"/>
      <c r="AF196" s="7"/>
      <c r="AG196" s="7"/>
      <c r="AH196" s="7"/>
    </row>
    <row r="197" spans="1:34" ht="15.75" customHeight="1" x14ac:dyDescent="0.35">
      <c r="A197" s="7"/>
      <c r="B197" s="7"/>
      <c r="C197" s="7"/>
      <c r="D197" s="7"/>
      <c r="E197" s="7"/>
      <c r="F197" s="17"/>
      <c r="G197" s="490"/>
      <c r="H197" s="7"/>
      <c r="I197" s="7"/>
      <c r="J197" s="7"/>
      <c r="K197" s="7"/>
      <c r="L197" s="7"/>
      <c r="M197" s="7"/>
      <c r="N197" s="7"/>
      <c r="O197" s="7"/>
      <c r="P197" s="7"/>
      <c r="Q197" s="7"/>
      <c r="R197" s="7"/>
      <c r="S197" s="7"/>
      <c r="T197" s="7"/>
      <c r="U197" s="7"/>
      <c r="V197" s="7"/>
      <c r="W197" s="7"/>
      <c r="X197" s="7"/>
      <c r="Y197" s="7"/>
      <c r="Z197" s="7"/>
      <c r="AA197" s="7"/>
      <c r="AB197" s="7"/>
      <c r="AC197" s="7"/>
      <c r="AD197" s="7"/>
      <c r="AE197" s="7"/>
      <c r="AF197" s="7"/>
      <c r="AG197" s="7"/>
      <c r="AH197" s="7"/>
    </row>
    <row r="198" spans="1:34" ht="15.75" customHeight="1" x14ac:dyDescent="0.35">
      <c r="A198" s="7"/>
      <c r="B198" s="7"/>
      <c r="C198" s="7"/>
      <c r="D198" s="7"/>
      <c r="E198" s="7"/>
      <c r="F198" s="17"/>
      <c r="G198" s="490"/>
      <c r="H198" s="7"/>
      <c r="I198" s="7"/>
      <c r="J198" s="7"/>
      <c r="K198" s="7"/>
      <c r="L198" s="7"/>
      <c r="M198" s="7"/>
      <c r="N198" s="7"/>
      <c r="O198" s="7"/>
      <c r="P198" s="7"/>
      <c r="Q198" s="7"/>
      <c r="R198" s="7"/>
      <c r="S198" s="7"/>
      <c r="T198" s="7"/>
      <c r="U198" s="7"/>
      <c r="V198" s="7"/>
      <c r="W198" s="7"/>
      <c r="X198" s="7"/>
      <c r="Y198" s="7"/>
      <c r="Z198" s="7"/>
      <c r="AA198" s="7"/>
      <c r="AB198" s="7"/>
      <c r="AC198" s="7"/>
      <c r="AD198" s="7"/>
      <c r="AE198" s="7"/>
      <c r="AF198" s="7"/>
      <c r="AG198" s="7"/>
      <c r="AH198" s="7"/>
    </row>
    <row r="199" spans="1:34" ht="15.75" customHeight="1" x14ac:dyDescent="0.35">
      <c r="A199" s="7"/>
      <c r="B199" s="7"/>
      <c r="C199" s="7"/>
      <c r="D199" s="7"/>
      <c r="E199" s="7"/>
      <c r="F199" s="17"/>
      <c r="G199" s="490"/>
      <c r="H199" s="7"/>
      <c r="I199" s="7"/>
      <c r="J199" s="7"/>
      <c r="K199" s="7"/>
      <c r="L199" s="7"/>
      <c r="M199" s="7"/>
      <c r="N199" s="7"/>
      <c r="O199" s="7"/>
      <c r="P199" s="7"/>
      <c r="Q199" s="7"/>
      <c r="R199" s="7"/>
      <c r="S199" s="7"/>
      <c r="T199" s="7"/>
      <c r="U199" s="7"/>
      <c r="V199" s="7"/>
      <c r="W199" s="7"/>
      <c r="X199" s="7"/>
      <c r="Y199" s="7"/>
      <c r="Z199" s="7"/>
      <c r="AA199" s="7"/>
      <c r="AB199" s="7"/>
      <c r="AC199" s="7"/>
      <c r="AD199" s="7"/>
      <c r="AE199" s="7"/>
      <c r="AF199" s="7"/>
      <c r="AG199" s="7"/>
      <c r="AH199" s="7"/>
    </row>
    <row r="200" spans="1:34" ht="15.75" customHeight="1" x14ac:dyDescent="0.35">
      <c r="A200" s="7"/>
      <c r="B200" s="7"/>
      <c r="C200" s="7"/>
      <c r="D200" s="7"/>
      <c r="E200" s="7"/>
      <c r="F200" s="17"/>
      <c r="G200" s="490"/>
      <c r="H200" s="7"/>
      <c r="I200" s="7"/>
      <c r="J200" s="7"/>
      <c r="K200" s="7"/>
      <c r="L200" s="7"/>
      <c r="M200" s="7"/>
      <c r="N200" s="7"/>
      <c r="O200" s="7"/>
      <c r="P200" s="7"/>
      <c r="Q200" s="7"/>
      <c r="R200" s="7"/>
      <c r="S200" s="7"/>
      <c r="T200" s="7"/>
      <c r="U200" s="7"/>
      <c r="V200" s="7"/>
      <c r="W200" s="7"/>
      <c r="X200" s="7"/>
      <c r="Y200" s="7"/>
      <c r="Z200" s="7"/>
      <c r="AA200" s="7"/>
      <c r="AB200" s="7"/>
      <c r="AC200" s="7"/>
      <c r="AD200" s="7"/>
      <c r="AE200" s="7"/>
      <c r="AF200" s="7"/>
      <c r="AG200" s="7"/>
      <c r="AH200" s="7"/>
    </row>
    <row r="201" spans="1:34" ht="15.75" customHeight="1" x14ac:dyDescent="0.35">
      <c r="A201" s="7"/>
      <c r="B201" s="7"/>
      <c r="C201" s="7"/>
      <c r="D201" s="7"/>
      <c r="E201" s="7"/>
      <c r="F201" s="17"/>
      <c r="G201" s="490"/>
      <c r="H201" s="7"/>
      <c r="I201" s="7"/>
      <c r="J201" s="7"/>
      <c r="K201" s="7"/>
      <c r="L201" s="7"/>
      <c r="M201" s="7"/>
      <c r="N201" s="7"/>
      <c r="O201" s="7"/>
      <c r="P201" s="7"/>
      <c r="Q201" s="7"/>
      <c r="R201" s="7"/>
      <c r="S201" s="7"/>
      <c r="T201" s="7"/>
      <c r="U201" s="7"/>
      <c r="V201" s="7"/>
      <c r="W201" s="7"/>
      <c r="X201" s="7"/>
      <c r="Y201" s="7"/>
      <c r="Z201" s="7"/>
      <c r="AA201" s="7"/>
      <c r="AB201" s="7"/>
      <c r="AC201" s="7"/>
      <c r="AD201" s="7"/>
      <c r="AE201" s="7"/>
      <c r="AF201" s="7"/>
      <c r="AG201" s="7"/>
      <c r="AH201" s="7"/>
    </row>
    <row r="202" spans="1:34" ht="15.75" customHeight="1" x14ac:dyDescent="0.35">
      <c r="A202" s="7"/>
      <c r="B202" s="7"/>
      <c r="C202" s="7"/>
      <c r="D202" s="7"/>
      <c r="E202" s="7"/>
      <c r="F202" s="17"/>
      <c r="G202" s="490"/>
      <c r="H202" s="7"/>
      <c r="I202" s="7"/>
      <c r="J202" s="7"/>
      <c r="K202" s="7"/>
      <c r="L202" s="7"/>
      <c r="M202" s="7"/>
      <c r="N202" s="7"/>
      <c r="O202" s="7"/>
      <c r="P202" s="7"/>
      <c r="Q202" s="7"/>
      <c r="R202" s="7"/>
      <c r="S202" s="7"/>
      <c r="T202" s="7"/>
      <c r="U202" s="7"/>
      <c r="V202" s="7"/>
      <c r="W202" s="7"/>
      <c r="X202" s="7"/>
      <c r="Y202" s="7"/>
      <c r="Z202" s="7"/>
      <c r="AA202" s="7"/>
      <c r="AB202" s="7"/>
      <c r="AC202" s="7"/>
      <c r="AD202" s="7"/>
      <c r="AE202" s="7"/>
      <c r="AF202" s="7"/>
      <c r="AG202" s="7"/>
      <c r="AH202" s="7"/>
    </row>
    <row r="203" spans="1:34" ht="15.75" customHeight="1" x14ac:dyDescent="0.35">
      <c r="A203" s="7"/>
      <c r="B203" s="7"/>
      <c r="C203" s="7"/>
      <c r="D203" s="7"/>
      <c r="E203" s="7"/>
      <c r="F203" s="17"/>
      <c r="G203" s="490"/>
      <c r="H203" s="7"/>
      <c r="I203" s="7"/>
      <c r="J203" s="7"/>
      <c r="K203" s="7"/>
      <c r="L203" s="7"/>
      <c r="M203" s="7"/>
      <c r="N203" s="7"/>
      <c r="O203" s="7"/>
      <c r="P203" s="7"/>
      <c r="Q203" s="7"/>
      <c r="R203" s="7"/>
      <c r="S203" s="7"/>
      <c r="T203" s="7"/>
      <c r="U203" s="7"/>
      <c r="V203" s="7"/>
      <c r="W203" s="7"/>
      <c r="X203" s="7"/>
      <c r="Y203" s="7"/>
      <c r="Z203" s="7"/>
      <c r="AA203" s="7"/>
      <c r="AB203" s="7"/>
      <c r="AC203" s="7"/>
      <c r="AD203" s="7"/>
      <c r="AE203" s="7"/>
      <c r="AF203" s="7"/>
      <c r="AG203" s="7"/>
      <c r="AH203" s="7"/>
    </row>
    <row r="204" spans="1:34" ht="15.75" customHeight="1" x14ac:dyDescent="0.35">
      <c r="A204" s="7"/>
      <c r="B204" s="7"/>
      <c r="C204" s="7"/>
      <c r="D204" s="7"/>
      <c r="E204" s="7"/>
      <c r="F204" s="17"/>
      <c r="G204" s="490"/>
      <c r="H204" s="7"/>
      <c r="I204" s="7"/>
      <c r="J204" s="7"/>
      <c r="K204" s="7"/>
      <c r="L204" s="7"/>
      <c r="M204" s="7"/>
      <c r="N204" s="7"/>
      <c r="O204" s="7"/>
      <c r="P204" s="7"/>
      <c r="Q204" s="7"/>
      <c r="R204" s="7"/>
      <c r="S204" s="7"/>
      <c r="T204" s="7"/>
      <c r="U204" s="7"/>
      <c r="V204" s="7"/>
      <c r="W204" s="7"/>
      <c r="X204" s="7"/>
      <c r="Y204" s="7"/>
      <c r="Z204" s="7"/>
      <c r="AA204" s="7"/>
      <c r="AB204" s="7"/>
      <c r="AC204" s="7"/>
      <c r="AD204" s="7"/>
      <c r="AE204" s="7"/>
      <c r="AF204" s="7"/>
      <c r="AG204" s="7"/>
      <c r="AH204" s="7"/>
    </row>
    <row r="205" spans="1:34" ht="15.75" customHeight="1" x14ac:dyDescent="0.35">
      <c r="A205" s="7"/>
      <c r="B205" s="7"/>
      <c r="C205" s="7"/>
      <c r="D205" s="7"/>
      <c r="E205" s="7"/>
      <c r="F205" s="17"/>
      <c r="G205" s="490"/>
      <c r="H205" s="7"/>
      <c r="I205" s="7"/>
      <c r="J205" s="7"/>
      <c r="K205" s="7"/>
      <c r="L205" s="7"/>
      <c r="M205" s="7"/>
      <c r="N205" s="7"/>
      <c r="O205" s="7"/>
      <c r="P205" s="7"/>
      <c r="Q205" s="7"/>
      <c r="R205" s="7"/>
      <c r="S205" s="7"/>
      <c r="T205" s="7"/>
      <c r="U205" s="7"/>
      <c r="V205" s="7"/>
      <c r="W205" s="7"/>
      <c r="X205" s="7"/>
      <c r="Y205" s="7"/>
      <c r="Z205" s="7"/>
      <c r="AA205" s="7"/>
      <c r="AB205" s="7"/>
      <c r="AC205" s="7"/>
      <c r="AD205" s="7"/>
      <c r="AE205" s="7"/>
      <c r="AF205" s="7"/>
      <c r="AG205" s="7"/>
      <c r="AH205" s="7"/>
    </row>
    <row r="206" spans="1:34" ht="15.75" customHeight="1" x14ac:dyDescent="0.35">
      <c r="A206" s="7"/>
      <c r="B206" s="7"/>
      <c r="C206" s="7"/>
      <c r="D206" s="7"/>
      <c r="E206" s="7"/>
      <c r="F206" s="17"/>
      <c r="G206" s="490"/>
      <c r="H206" s="7"/>
      <c r="I206" s="7"/>
      <c r="J206" s="7"/>
      <c r="K206" s="7"/>
      <c r="L206" s="7"/>
      <c r="M206" s="7"/>
      <c r="N206" s="7"/>
      <c r="O206" s="7"/>
      <c r="P206" s="7"/>
      <c r="Q206" s="7"/>
      <c r="R206" s="7"/>
      <c r="S206" s="7"/>
      <c r="T206" s="7"/>
      <c r="U206" s="7"/>
      <c r="V206" s="7"/>
      <c r="W206" s="7"/>
      <c r="X206" s="7"/>
      <c r="Y206" s="7"/>
      <c r="Z206" s="7"/>
      <c r="AA206" s="7"/>
      <c r="AB206" s="7"/>
      <c r="AC206" s="7"/>
      <c r="AD206" s="7"/>
      <c r="AE206" s="7"/>
      <c r="AF206" s="7"/>
      <c r="AG206" s="7"/>
      <c r="AH206" s="7"/>
    </row>
    <row r="207" spans="1:34" ht="15.75" customHeight="1" x14ac:dyDescent="0.35">
      <c r="A207" s="7"/>
      <c r="B207" s="7"/>
      <c r="C207" s="7"/>
      <c r="D207" s="7"/>
      <c r="E207" s="7"/>
      <c r="F207" s="17"/>
      <c r="G207" s="490"/>
      <c r="H207" s="7"/>
      <c r="I207" s="7"/>
      <c r="J207" s="7"/>
      <c r="K207" s="7"/>
      <c r="L207" s="7"/>
      <c r="M207" s="7"/>
      <c r="N207" s="7"/>
      <c r="O207" s="7"/>
      <c r="P207" s="7"/>
      <c r="Q207" s="7"/>
      <c r="R207" s="7"/>
      <c r="S207" s="7"/>
      <c r="T207" s="7"/>
      <c r="U207" s="7"/>
      <c r="V207" s="7"/>
      <c r="W207" s="7"/>
      <c r="X207" s="7"/>
      <c r="Y207" s="7"/>
      <c r="Z207" s="7"/>
      <c r="AA207" s="7"/>
      <c r="AB207" s="7"/>
      <c r="AC207" s="7"/>
      <c r="AD207" s="7"/>
      <c r="AE207" s="7"/>
      <c r="AF207" s="7"/>
      <c r="AG207" s="7"/>
      <c r="AH207" s="7"/>
    </row>
    <row r="208" spans="1:34" ht="15.75" customHeight="1" x14ac:dyDescent="0.35">
      <c r="A208" s="7"/>
      <c r="B208" s="7"/>
      <c r="C208" s="7"/>
      <c r="D208" s="7"/>
      <c r="E208" s="7"/>
      <c r="F208" s="17"/>
      <c r="G208" s="490"/>
      <c r="H208" s="7"/>
      <c r="I208" s="7"/>
      <c r="J208" s="7"/>
      <c r="K208" s="7"/>
      <c r="L208" s="7"/>
      <c r="M208" s="7"/>
      <c r="N208" s="7"/>
      <c r="O208" s="7"/>
      <c r="P208" s="7"/>
      <c r="Q208" s="7"/>
      <c r="R208" s="7"/>
      <c r="S208" s="7"/>
      <c r="T208" s="7"/>
      <c r="U208" s="7"/>
      <c r="V208" s="7"/>
      <c r="W208" s="7"/>
      <c r="X208" s="7"/>
      <c r="Y208" s="7"/>
      <c r="Z208" s="7"/>
      <c r="AA208" s="7"/>
      <c r="AB208" s="7"/>
      <c r="AC208" s="7"/>
      <c r="AD208" s="7"/>
      <c r="AE208" s="7"/>
      <c r="AF208" s="7"/>
      <c r="AG208" s="7"/>
      <c r="AH208" s="7"/>
    </row>
    <row r="209" spans="1:34" ht="15.75" customHeight="1" x14ac:dyDescent="0.35">
      <c r="A209" s="7"/>
      <c r="B209" s="7"/>
      <c r="C209" s="7"/>
      <c r="D209" s="7"/>
      <c r="E209" s="7"/>
      <c r="F209" s="17"/>
      <c r="G209" s="490"/>
      <c r="H209" s="7"/>
      <c r="I209" s="7"/>
      <c r="J209" s="7"/>
      <c r="K209" s="7"/>
      <c r="L209" s="7"/>
      <c r="M209" s="7"/>
      <c r="N209" s="7"/>
      <c r="O209" s="7"/>
      <c r="P209" s="7"/>
      <c r="Q209" s="7"/>
      <c r="R209" s="7"/>
      <c r="S209" s="7"/>
      <c r="T209" s="7"/>
      <c r="U209" s="7"/>
      <c r="V209" s="7"/>
      <c r="W209" s="7"/>
      <c r="X209" s="7"/>
      <c r="Y209" s="7"/>
      <c r="Z209" s="7"/>
      <c r="AA209" s="7"/>
      <c r="AB209" s="7"/>
      <c r="AC209" s="7"/>
      <c r="AD209" s="7"/>
      <c r="AE209" s="7"/>
      <c r="AF209" s="7"/>
      <c r="AG209" s="7"/>
      <c r="AH209" s="7"/>
    </row>
    <row r="210" spans="1:34" ht="15.75" customHeight="1" x14ac:dyDescent="0.35">
      <c r="A210" s="7"/>
      <c r="B210" s="7"/>
      <c r="C210" s="7"/>
      <c r="D210" s="7"/>
      <c r="E210" s="7"/>
      <c r="F210" s="17"/>
      <c r="G210" s="490"/>
      <c r="H210" s="7"/>
      <c r="I210" s="7"/>
      <c r="J210" s="7"/>
      <c r="K210" s="7"/>
      <c r="L210" s="7"/>
      <c r="M210" s="7"/>
      <c r="N210" s="7"/>
      <c r="O210" s="7"/>
      <c r="P210" s="7"/>
      <c r="Q210" s="7"/>
      <c r="R210" s="7"/>
      <c r="S210" s="7"/>
      <c r="T210" s="7"/>
      <c r="U210" s="7"/>
      <c r="V210" s="7"/>
      <c r="W210" s="7"/>
      <c r="X210" s="7"/>
      <c r="Y210" s="7"/>
      <c r="Z210" s="7"/>
      <c r="AA210" s="7"/>
      <c r="AB210" s="7"/>
      <c r="AC210" s="7"/>
      <c r="AD210" s="7"/>
      <c r="AE210" s="7"/>
      <c r="AF210" s="7"/>
      <c r="AG210" s="7"/>
      <c r="AH210" s="7"/>
    </row>
    <row r="211" spans="1:34" ht="15.75" customHeight="1" x14ac:dyDescent="0.35">
      <c r="A211" s="7"/>
      <c r="B211" s="7"/>
      <c r="C211" s="7"/>
      <c r="D211" s="7"/>
      <c r="E211" s="7"/>
      <c r="F211" s="17"/>
      <c r="G211" s="490"/>
      <c r="H211" s="7"/>
      <c r="I211" s="7"/>
      <c r="J211" s="7"/>
      <c r="K211" s="7"/>
      <c r="L211" s="7"/>
      <c r="M211" s="7"/>
      <c r="N211" s="7"/>
      <c r="O211" s="7"/>
      <c r="P211" s="7"/>
      <c r="Q211" s="7"/>
      <c r="R211" s="7"/>
      <c r="S211" s="7"/>
      <c r="T211" s="7"/>
      <c r="U211" s="7"/>
      <c r="V211" s="7"/>
      <c r="W211" s="7"/>
      <c r="X211" s="7"/>
      <c r="Y211" s="7"/>
      <c r="Z211" s="7"/>
      <c r="AA211" s="7"/>
      <c r="AB211" s="7"/>
      <c r="AC211" s="7"/>
      <c r="AD211" s="7"/>
      <c r="AE211" s="7"/>
      <c r="AF211" s="7"/>
      <c r="AG211" s="7"/>
      <c r="AH211" s="7"/>
    </row>
    <row r="212" spans="1:34" ht="15.75" customHeight="1" x14ac:dyDescent="0.35">
      <c r="A212" s="7"/>
      <c r="B212" s="7"/>
      <c r="C212" s="7"/>
      <c r="D212" s="7"/>
      <c r="E212" s="7"/>
      <c r="F212" s="17"/>
      <c r="G212" s="490"/>
      <c r="H212" s="7"/>
      <c r="I212" s="7"/>
      <c r="J212" s="7"/>
      <c r="K212" s="7"/>
      <c r="L212" s="7"/>
      <c r="M212" s="7"/>
      <c r="N212" s="7"/>
      <c r="O212" s="7"/>
      <c r="P212" s="7"/>
      <c r="Q212" s="7"/>
      <c r="R212" s="7"/>
      <c r="S212" s="7"/>
      <c r="T212" s="7"/>
      <c r="U212" s="7"/>
      <c r="V212" s="7"/>
      <c r="W212" s="7"/>
      <c r="X212" s="7"/>
      <c r="Y212" s="7"/>
      <c r="Z212" s="7"/>
      <c r="AA212" s="7"/>
      <c r="AB212" s="7"/>
      <c r="AC212" s="7"/>
      <c r="AD212" s="7"/>
      <c r="AE212" s="7"/>
      <c r="AF212" s="7"/>
      <c r="AG212" s="7"/>
      <c r="AH212" s="7"/>
    </row>
    <row r="213" spans="1:34" ht="15.75" customHeight="1" x14ac:dyDescent="0.35">
      <c r="A213" s="7"/>
      <c r="B213" s="7"/>
      <c r="C213" s="7"/>
      <c r="D213" s="7"/>
      <c r="E213" s="7"/>
      <c r="F213" s="17"/>
      <c r="G213" s="490"/>
      <c r="H213" s="7"/>
      <c r="I213" s="7"/>
      <c r="J213" s="7"/>
      <c r="K213" s="7"/>
      <c r="L213" s="7"/>
      <c r="M213" s="7"/>
      <c r="N213" s="7"/>
      <c r="O213" s="7"/>
      <c r="P213" s="7"/>
      <c r="Q213" s="7"/>
      <c r="R213" s="7"/>
      <c r="S213" s="7"/>
      <c r="T213" s="7"/>
      <c r="U213" s="7"/>
      <c r="V213" s="7"/>
      <c r="W213" s="7"/>
      <c r="X213" s="7"/>
      <c r="Y213" s="7"/>
      <c r="Z213" s="7"/>
      <c r="AA213" s="7"/>
      <c r="AB213" s="7"/>
      <c r="AC213" s="7"/>
      <c r="AD213" s="7"/>
      <c r="AE213" s="7"/>
      <c r="AF213" s="7"/>
      <c r="AG213" s="7"/>
      <c r="AH213" s="7"/>
    </row>
    <row r="214" spans="1:34" ht="15.75" customHeight="1" x14ac:dyDescent="0.35">
      <c r="A214" s="7"/>
      <c r="B214" s="7"/>
      <c r="C214" s="7"/>
      <c r="D214" s="7"/>
      <c r="E214" s="7"/>
      <c r="F214" s="17"/>
      <c r="G214" s="490"/>
      <c r="H214" s="7"/>
      <c r="I214" s="7"/>
      <c r="J214" s="7"/>
      <c r="K214" s="7"/>
      <c r="L214" s="7"/>
      <c r="M214" s="7"/>
      <c r="N214" s="7"/>
      <c r="O214" s="7"/>
      <c r="P214" s="7"/>
      <c r="Q214" s="7"/>
      <c r="R214" s="7"/>
      <c r="S214" s="7"/>
      <c r="T214" s="7"/>
      <c r="U214" s="7"/>
      <c r="V214" s="7"/>
      <c r="W214" s="7"/>
      <c r="X214" s="7"/>
      <c r="Y214" s="7"/>
      <c r="Z214" s="7"/>
      <c r="AA214" s="7"/>
      <c r="AB214" s="7"/>
      <c r="AC214" s="7"/>
      <c r="AD214" s="7"/>
      <c r="AE214" s="7"/>
      <c r="AF214" s="7"/>
      <c r="AG214" s="7"/>
      <c r="AH214" s="7"/>
    </row>
    <row r="215" spans="1:34" ht="15.75" customHeight="1" x14ac:dyDescent="0.35">
      <c r="A215" s="7"/>
      <c r="B215" s="7"/>
      <c r="C215" s="7"/>
      <c r="D215" s="7"/>
      <c r="E215" s="7"/>
      <c r="F215" s="17"/>
      <c r="G215" s="490"/>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row>
    <row r="216" spans="1:34" ht="15.75" customHeight="1" x14ac:dyDescent="0.35">
      <c r="A216" s="7"/>
      <c r="B216" s="7"/>
      <c r="C216" s="7"/>
      <c r="D216" s="7"/>
      <c r="E216" s="7"/>
      <c r="F216" s="17"/>
      <c r="G216" s="490"/>
      <c r="H216" s="7"/>
      <c r="I216" s="7"/>
      <c r="J216" s="7"/>
      <c r="K216" s="7"/>
      <c r="L216" s="7"/>
      <c r="M216" s="7"/>
      <c r="N216" s="7"/>
      <c r="O216" s="7"/>
      <c r="P216" s="7"/>
      <c r="Q216" s="7"/>
      <c r="R216" s="7"/>
      <c r="S216" s="7"/>
      <c r="T216" s="7"/>
      <c r="U216" s="7"/>
      <c r="V216" s="7"/>
      <c r="W216" s="7"/>
      <c r="X216" s="7"/>
      <c r="Y216" s="7"/>
      <c r="Z216" s="7"/>
      <c r="AA216" s="7"/>
      <c r="AB216" s="7"/>
      <c r="AC216" s="7"/>
      <c r="AD216" s="7"/>
      <c r="AE216" s="7"/>
      <c r="AF216" s="7"/>
      <c r="AG216" s="7"/>
      <c r="AH216" s="7"/>
    </row>
    <row r="217" spans="1:34" ht="15.75" customHeight="1" x14ac:dyDescent="0.35">
      <c r="A217" s="7"/>
      <c r="B217" s="7"/>
      <c r="C217" s="7"/>
      <c r="D217" s="7"/>
      <c r="E217" s="7"/>
      <c r="F217" s="17"/>
      <c r="G217" s="490"/>
      <c r="H217" s="7"/>
      <c r="I217" s="7"/>
      <c r="J217" s="7"/>
      <c r="K217" s="7"/>
      <c r="L217" s="7"/>
      <c r="M217" s="7"/>
      <c r="N217" s="7"/>
      <c r="O217" s="7"/>
      <c r="P217" s="7"/>
      <c r="Q217" s="7"/>
      <c r="R217" s="7"/>
      <c r="S217" s="7"/>
      <c r="T217" s="7"/>
      <c r="U217" s="7"/>
      <c r="V217" s="7"/>
      <c r="W217" s="7"/>
      <c r="X217" s="7"/>
      <c r="Y217" s="7"/>
      <c r="Z217" s="7"/>
      <c r="AA217" s="7"/>
      <c r="AB217" s="7"/>
      <c r="AC217" s="7"/>
      <c r="AD217" s="7"/>
      <c r="AE217" s="7"/>
      <c r="AF217" s="7"/>
      <c r="AG217" s="7"/>
      <c r="AH217" s="7"/>
    </row>
    <row r="218" spans="1:34" ht="15.75" customHeight="1" x14ac:dyDescent="0.35">
      <c r="A218" s="7"/>
      <c r="B218" s="7"/>
      <c r="C218" s="7"/>
      <c r="D218" s="7"/>
      <c r="E218" s="7"/>
      <c r="F218" s="17"/>
      <c r="G218" s="490"/>
      <c r="H218" s="7"/>
      <c r="I218" s="7"/>
      <c r="J218" s="7"/>
      <c r="K218" s="7"/>
      <c r="L218" s="7"/>
      <c r="M218" s="7"/>
      <c r="N218" s="7"/>
      <c r="O218" s="7"/>
      <c r="P218" s="7"/>
      <c r="Q218" s="7"/>
      <c r="R218" s="7"/>
      <c r="S218" s="7"/>
      <c r="T218" s="7"/>
      <c r="U218" s="7"/>
      <c r="V218" s="7"/>
      <c r="W218" s="7"/>
      <c r="X218" s="7"/>
      <c r="Y218" s="7"/>
      <c r="Z218" s="7"/>
      <c r="AA218" s="7"/>
      <c r="AB218" s="7"/>
      <c r="AC218" s="7"/>
      <c r="AD218" s="7"/>
      <c r="AE218" s="7"/>
      <c r="AF218" s="7"/>
      <c r="AG218" s="7"/>
      <c r="AH218" s="7"/>
    </row>
    <row r="219" spans="1:34" ht="15.75" customHeight="1" x14ac:dyDescent="0.35">
      <c r="A219" s="7"/>
      <c r="B219" s="7"/>
      <c r="C219" s="7"/>
      <c r="D219" s="7"/>
      <c r="E219" s="7"/>
      <c r="F219" s="17"/>
      <c r="G219" s="490"/>
      <c r="H219" s="7"/>
      <c r="I219" s="7"/>
      <c r="J219" s="7"/>
      <c r="K219" s="7"/>
      <c r="L219" s="7"/>
      <c r="M219" s="7"/>
      <c r="N219" s="7"/>
      <c r="O219" s="7"/>
      <c r="P219" s="7"/>
      <c r="Q219" s="7"/>
      <c r="R219" s="7"/>
      <c r="S219" s="7"/>
      <c r="T219" s="7"/>
      <c r="U219" s="7"/>
      <c r="V219" s="7"/>
      <c r="W219" s="7"/>
      <c r="X219" s="7"/>
      <c r="Y219" s="7"/>
      <c r="Z219" s="7"/>
      <c r="AA219" s="7"/>
      <c r="AB219" s="7"/>
      <c r="AC219" s="7"/>
      <c r="AD219" s="7"/>
      <c r="AE219" s="7"/>
      <c r="AF219" s="7"/>
      <c r="AG219" s="7"/>
      <c r="AH219" s="7"/>
    </row>
    <row r="220" spans="1:34" ht="15.75" customHeight="1" x14ac:dyDescent="0.35">
      <c r="A220" s="7"/>
      <c r="B220" s="7"/>
      <c r="C220" s="7"/>
      <c r="D220" s="7"/>
      <c r="E220" s="7"/>
      <c r="F220" s="17"/>
      <c r="G220" s="490"/>
      <c r="H220" s="7"/>
      <c r="I220" s="7"/>
      <c r="J220" s="7"/>
      <c r="K220" s="7"/>
      <c r="L220" s="7"/>
      <c r="M220" s="7"/>
      <c r="N220" s="7"/>
      <c r="O220" s="7"/>
      <c r="P220" s="7"/>
      <c r="Q220" s="7"/>
      <c r="R220" s="7"/>
      <c r="S220" s="7"/>
      <c r="T220" s="7"/>
      <c r="U220" s="7"/>
      <c r="V220" s="7"/>
      <c r="W220" s="7"/>
      <c r="X220" s="7"/>
      <c r="Y220" s="7"/>
      <c r="Z220" s="7"/>
      <c r="AA220" s="7"/>
      <c r="AB220" s="7"/>
      <c r="AC220" s="7"/>
      <c r="AD220" s="7"/>
      <c r="AE220" s="7"/>
      <c r="AF220" s="7"/>
      <c r="AG220" s="7"/>
      <c r="AH220" s="7"/>
    </row>
    <row r="221" spans="1:34" ht="15.75" customHeight="1" x14ac:dyDescent="0.35">
      <c r="A221" s="7"/>
      <c r="B221" s="7"/>
      <c r="C221" s="7"/>
      <c r="D221" s="7"/>
      <c r="E221" s="7"/>
      <c r="F221" s="17"/>
      <c r="G221" s="490"/>
      <c r="H221" s="7"/>
      <c r="I221" s="7"/>
      <c r="J221" s="7"/>
      <c r="K221" s="7"/>
      <c r="L221" s="7"/>
      <c r="M221" s="7"/>
      <c r="N221" s="7"/>
      <c r="O221" s="7"/>
      <c r="P221" s="7"/>
      <c r="Q221" s="7"/>
      <c r="R221" s="7"/>
      <c r="S221" s="7"/>
      <c r="T221" s="7"/>
      <c r="U221" s="7"/>
      <c r="V221" s="7"/>
      <c r="W221" s="7"/>
      <c r="X221" s="7"/>
      <c r="Y221" s="7"/>
      <c r="Z221" s="7"/>
      <c r="AA221" s="7"/>
      <c r="AB221" s="7"/>
      <c r="AC221" s="7"/>
      <c r="AD221" s="7"/>
      <c r="AE221" s="7"/>
      <c r="AF221" s="7"/>
      <c r="AG221" s="7"/>
      <c r="AH221" s="7"/>
    </row>
    <row r="222" spans="1:34" ht="15.75" customHeight="1" x14ac:dyDescent="0.35">
      <c r="A222" s="7"/>
      <c r="B222" s="7"/>
      <c r="C222" s="7"/>
      <c r="D222" s="7"/>
      <c r="E222" s="7"/>
      <c r="F222" s="17"/>
      <c r="G222" s="490"/>
      <c r="H222" s="7"/>
      <c r="I222" s="7"/>
      <c r="J222" s="7"/>
      <c r="K222" s="7"/>
      <c r="L222" s="7"/>
      <c r="M222" s="7"/>
      <c r="N222" s="7"/>
      <c r="O222" s="7"/>
      <c r="P222" s="7"/>
      <c r="Q222" s="7"/>
      <c r="R222" s="7"/>
      <c r="S222" s="7"/>
      <c r="T222" s="7"/>
      <c r="U222" s="7"/>
      <c r="V222" s="7"/>
      <c r="W222" s="7"/>
      <c r="X222" s="7"/>
      <c r="Y222" s="7"/>
      <c r="Z222" s="7"/>
      <c r="AA222" s="7"/>
      <c r="AB222" s="7"/>
      <c r="AC222" s="7"/>
      <c r="AD222" s="7"/>
      <c r="AE222" s="7"/>
      <c r="AF222" s="7"/>
      <c r="AG222" s="7"/>
      <c r="AH222" s="7"/>
    </row>
    <row r="223" spans="1:34" ht="15.75" customHeight="1" x14ac:dyDescent="0.35">
      <c r="A223" s="7"/>
      <c r="B223" s="7"/>
      <c r="C223" s="7"/>
      <c r="D223" s="7"/>
      <c r="E223" s="7"/>
      <c r="F223" s="17"/>
      <c r="G223" s="490"/>
      <c r="H223" s="7"/>
      <c r="I223" s="7"/>
      <c r="J223" s="7"/>
      <c r="K223" s="7"/>
      <c r="L223" s="7"/>
      <c r="M223" s="7"/>
      <c r="N223" s="7"/>
      <c r="O223" s="7"/>
      <c r="P223" s="7"/>
      <c r="Q223" s="7"/>
      <c r="R223" s="7"/>
      <c r="S223" s="7"/>
      <c r="T223" s="7"/>
      <c r="U223" s="7"/>
      <c r="V223" s="7"/>
      <c r="W223" s="7"/>
      <c r="X223" s="7"/>
      <c r="Y223" s="7"/>
      <c r="Z223" s="7"/>
      <c r="AA223" s="7"/>
      <c r="AB223" s="7"/>
      <c r="AC223" s="7"/>
      <c r="AD223" s="7"/>
      <c r="AE223" s="7"/>
      <c r="AF223" s="7"/>
      <c r="AG223" s="7"/>
      <c r="AH223" s="7"/>
    </row>
    <row r="224" spans="1:34" ht="15.75" customHeight="1" x14ac:dyDescent="0.35">
      <c r="A224" s="7"/>
      <c r="B224" s="7"/>
      <c r="C224" s="7"/>
      <c r="D224" s="7"/>
      <c r="E224" s="7"/>
      <c r="F224" s="17"/>
      <c r="G224" s="490"/>
      <c r="H224" s="7"/>
      <c r="I224" s="7"/>
      <c r="J224" s="7"/>
      <c r="K224" s="7"/>
      <c r="L224" s="7"/>
      <c r="M224" s="7"/>
      <c r="N224" s="7"/>
      <c r="O224" s="7"/>
      <c r="P224" s="7"/>
      <c r="Q224" s="7"/>
      <c r="R224" s="7"/>
      <c r="S224" s="7"/>
      <c r="T224" s="7"/>
      <c r="U224" s="7"/>
      <c r="V224" s="7"/>
      <c r="W224" s="7"/>
      <c r="X224" s="7"/>
      <c r="Y224" s="7"/>
      <c r="Z224" s="7"/>
      <c r="AA224" s="7"/>
      <c r="AB224" s="7"/>
      <c r="AC224" s="7"/>
      <c r="AD224" s="7"/>
      <c r="AE224" s="7"/>
      <c r="AF224" s="7"/>
      <c r="AG224" s="7"/>
      <c r="AH224" s="7"/>
    </row>
    <row r="225" spans="1:34" ht="15.75" customHeight="1" x14ac:dyDescent="0.35">
      <c r="A225" s="7"/>
      <c r="B225" s="7"/>
      <c r="C225" s="7"/>
      <c r="D225" s="7"/>
      <c r="E225" s="7"/>
      <c r="F225" s="17"/>
      <c r="G225" s="490"/>
      <c r="H225" s="7"/>
      <c r="I225" s="7"/>
      <c r="J225" s="7"/>
      <c r="K225" s="7"/>
      <c r="L225" s="7"/>
      <c r="M225" s="7"/>
      <c r="N225" s="7"/>
      <c r="O225" s="7"/>
      <c r="P225" s="7"/>
      <c r="Q225" s="7"/>
      <c r="R225" s="7"/>
      <c r="S225" s="7"/>
      <c r="T225" s="7"/>
      <c r="U225" s="7"/>
      <c r="V225" s="7"/>
      <c r="W225" s="7"/>
      <c r="X225" s="7"/>
      <c r="Y225" s="7"/>
      <c r="Z225" s="7"/>
      <c r="AA225" s="7"/>
      <c r="AB225" s="7"/>
      <c r="AC225" s="7"/>
      <c r="AD225" s="7"/>
      <c r="AE225" s="7"/>
      <c r="AF225" s="7"/>
      <c r="AG225" s="7"/>
      <c r="AH225" s="7"/>
    </row>
    <row r="226" spans="1:34" ht="15.75" customHeight="1" x14ac:dyDescent="0.35">
      <c r="A226" s="7"/>
      <c r="B226" s="7"/>
      <c r="C226" s="7"/>
      <c r="D226" s="7"/>
      <c r="E226" s="7"/>
      <c r="F226" s="17"/>
      <c r="G226" s="490"/>
      <c r="H226" s="7"/>
      <c r="I226" s="7"/>
      <c r="J226" s="7"/>
      <c r="K226" s="7"/>
      <c r="L226" s="7"/>
      <c r="M226" s="7"/>
      <c r="N226" s="7"/>
      <c r="O226" s="7"/>
      <c r="P226" s="7"/>
      <c r="Q226" s="7"/>
      <c r="R226" s="7"/>
      <c r="S226" s="7"/>
      <c r="T226" s="7"/>
      <c r="U226" s="7"/>
      <c r="V226" s="7"/>
      <c r="W226" s="7"/>
      <c r="X226" s="7"/>
      <c r="Y226" s="7"/>
      <c r="Z226" s="7"/>
      <c r="AA226" s="7"/>
      <c r="AB226" s="7"/>
      <c r="AC226" s="7"/>
      <c r="AD226" s="7"/>
      <c r="AE226" s="7"/>
      <c r="AF226" s="7"/>
      <c r="AG226" s="7"/>
      <c r="AH226" s="7"/>
    </row>
    <row r="227" spans="1:34" ht="15.75" customHeight="1" x14ac:dyDescent="0.35">
      <c r="A227" s="7"/>
      <c r="B227" s="7"/>
      <c r="C227" s="7"/>
      <c r="D227" s="7"/>
      <c r="E227" s="7"/>
      <c r="F227" s="17"/>
      <c r="G227" s="490"/>
      <c r="H227" s="7"/>
      <c r="I227" s="7"/>
      <c r="J227" s="7"/>
      <c r="K227" s="7"/>
      <c r="L227" s="7"/>
      <c r="M227" s="7"/>
      <c r="N227" s="7"/>
      <c r="O227" s="7"/>
      <c r="P227" s="7"/>
      <c r="Q227" s="7"/>
      <c r="R227" s="7"/>
      <c r="S227" s="7"/>
      <c r="T227" s="7"/>
      <c r="U227" s="7"/>
      <c r="V227" s="7"/>
      <c r="W227" s="7"/>
      <c r="X227" s="7"/>
      <c r="Y227" s="7"/>
      <c r="Z227" s="7"/>
      <c r="AA227" s="7"/>
      <c r="AB227" s="7"/>
      <c r="AC227" s="7"/>
      <c r="AD227" s="7"/>
      <c r="AE227" s="7"/>
      <c r="AF227" s="7"/>
      <c r="AG227" s="7"/>
      <c r="AH227" s="7"/>
    </row>
    <row r="228" spans="1:34" ht="15.75" customHeight="1" x14ac:dyDescent="0.35">
      <c r="A228" s="7"/>
      <c r="B228" s="7"/>
      <c r="C228" s="7"/>
      <c r="D228" s="7"/>
      <c r="E228" s="7"/>
      <c r="F228" s="17"/>
      <c r="G228" s="490"/>
      <c r="H228" s="7"/>
      <c r="I228" s="7"/>
      <c r="J228" s="7"/>
      <c r="K228" s="7"/>
      <c r="L228" s="7"/>
      <c r="M228" s="7"/>
      <c r="N228" s="7"/>
      <c r="O228" s="7"/>
      <c r="P228" s="7"/>
      <c r="Q228" s="7"/>
      <c r="R228" s="7"/>
      <c r="S228" s="7"/>
      <c r="T228" s="7"/>
      <c r="U228" s="7"/>
      <c r="V228" s="7"/>
      <c r="W228" s="7"/>
      <c r="X228" s="7"/>
      <c r="Y228" s="7"/>
      <c r="Z228" s="7"/>
      <c r="AA228" s="7"/>
      <c r="AB228" s="7"/>
      <c r="AC228" s="7"/>
      <c r="AD228" s="7"/>
      <c r="AE228" s="7"/>
      <c r="AF228" s="7"/>
      <c r="AG228" s="7"/>
      <c r="AH228" s="7"/>
    </row>
    <row r="229" spans="1:34" ht="15.75" customHeight="1" x14ac:dyDescent="0.35">
      <c r="A229" s="7"/>
      <c r="B229" s="7"/>
      <c r="C229" s="7"/>
      <c r="D229" s="7"/>
      <c r="E229" s="7"/>
      <c r="F229" s="17"/>
      <c r="G229" s="490"/>
      <c r="H229" s="7"/>
      <c r="I229" s="7"/>
      <c r="J229" s="7"/>
      <c r="K229" s="7"/>
      <c r="L229" s="7"/>
      <c r="M229" s="7"/>
      <c r="N229" s="7"/>
      <c r="O229" s="7"/>
      <c r="P229" s="7"/>
      <c r="Q229" s="7"/>
      <c r="R229" s="7"/>
      <c r="S229" s="7"/>
      <c r="T229" s="7"/>
      <c r="U229" s="7"/>
      <c r="V229" s="7"/>
      <c r="W229" s="7"/>
      <c r="X229" s="7"/>
      <c r="Y229" s="7"/>
      <c r="Z229" s="7"/>
      <c r="AA229" s="7"/>
      <c r="AB229" s="7"/>
      <c r="AC229" s="7"/>
      <c r="AD229" s="7"/>
      <c r="AE229" s="7"/>
      <c r="AF229" s="7"/>
      <c r="AG229" s="7"/>
      <c r="AH229" s="7"/>
    </row>
    <row r="230" spans="1:34" ht="15.75" customHeight="1" x14ac:dyDescent="0.35">
      <c r="A230" s="7"/>
      <c r="B230" s="7"/>
      <c r="C230" s="7"/>
      <c r="D230" s="7"/>
      <c r="E230" s="7"/>
      <c r="F230" s="17"/>
      <c r="G230" s="490"/>
      <c r="H230" s="7"/>
      <c r="I230" s="7"/>
      <c r="J230" s="7"/>
      <c r="K230" s="7"/>
      <c r="L230" s="7"/>
      <c r="M230" s="7"/>
      <c r="N230" s="7"/>
      <c r="O230" s="7"/>
      <c r="P230" s="7"/>
      <c r="Q230" s="7"/>
      <c r="R230" s="7"/>
      <c r="S230" s="7"/>
      <c r="T230" s="7"/>
      <c r="U230" s="7"/>
      <c r="V230" s="7"/>
      <c r="W230" s="7"/>
      <c r="X230" s="7"/>
      <c r="Y230" s="7"/>
      <c r="Z230" s="7"/>
      <c r="AA230" s="7"/>
      <c r="AB230" s="7"/>
      <c r="AC230" s="7"/>
      <c r="AD230" s="7"/>
      <c r="AE230" s="7"/>
      <c r="AF230" s="7"/>
      <c r="AG230" s="7"/>
      <c r="AH230" s="7"/>
    </row>
    <row r="231" spans="1:34" ht="15.75" customHeight="1" x14ac:dyDescent="0.35">
      <c r="A231" s="7"/>
      <c r="B231" s="7"/>
      <c r="C231" s="7"/>
      <c r="D231" s="7"/>
      <c r="E231" s="7"/>
      <c r="F231" s="17"/>
      <c r="G231" s="490"/>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c r="AG231" s="7"/>
      <c r="AH231" s="7"/>
    </row>
    <row r="232" spans="1:34" ht="15.75" customHeight="1" x14ac:dyDescent="0.35">
      <c r="A232" s="7"/>
      <c r="B232" s="7"/>
      <c r="C232" s="7"/>
      <c r="D232" s="7"/>
      <c r="E232" s="7"/>
      <c r="F232" s="17"/>
      <c r="G232" s="490"/>
      <c r="H232" s="7"/>
      <c r="I232" s="7"/>
      <c r="J232" s="7"/>
      <c r="K232" s="7"/>
      <c r="L232" s="7"/>
      <c r="M232" s="7"/>
      <c r="N232" s="7"/>
      <c r="O232" s="7"/>
      <c r="P232" s="7"/>
      <c r="Q232" s="7"/>
      <c r="R232" s="7"/>
      <c r="S232" s="7"/>
      <c r="T232" s="7"/>
      <c r="U232" s="7"/>
      <c r="V232" s="7"/>
      <c r="W232" s="7"/>
      <c r="X232" s="7"/>
      <c r="Y232" s="7"/>
      <c r="Z232" s="7"/>
      <c r="AA232" s="7"/>
      <c r="AB232" s="7"/>
      <c r="AC232" s="7"/>
      <c r="AD232" s="7"/>
      <c r="AE232" s="7"/>
      <c r="AF232" s="7"/>
      <c r="AG232" s="7"/>
      <c r="AH232" s="7"/>
    </row>
    <row r="233" spans="1:34" ht="15.75" customHeight="1" x14ac:dyDescent="0.35">
      <c r="A233" s="7"/>
      <c r="B233" s="7"/>
      <c r="C233" s="7"/>
      <c r="D233" s="7"/>
      <c r="E233" s="7"/>
      <c r="F233" s="17"/>
      <c r="G233" s="490"/>
      <c r="H233" s="7"/>
      <c r="I233" s="7"/>
      <c r="J233" s="7"/>
      <c r="K233" s="7"/>
      <c r="L233" s="7"/>
      <c r="M233" s="7"/>
      <c r="N233" s="7"/>
      <c r="O233" s="7"/>
      <c r="P233" s="7"/>
      <c r="Q233" s="7"/>
      <c r="R233" s="7"/>
      <c r="S233" s="7"/>
      <c r="T233" s="7"/>
      <c r="U233" s="7"/>
      <c r="V233" s="7"/>
      <c r="W233" s="7"/>
      <c r="X233" s="7"/>
      <c r="Y233" s="7"/>
      <c r="Z233" s="7"/>
      <c r="AA233" s="7"/>
      <c r="AB233" s="7"/>
      <c r="AC233" s="7"/>
      <c r="AD233" s="7"/>
      <c r="AE233" s="7"/>
      <c r="AF233" s="7"/>
      <c r="AG233" s="7"/>
      <c r="AH233" s="7"/>
    </row>
    <row r="234" spans="1:34" ht="15.75" customHeight="1" x14ac:dyDescent="0.35">
      <c r="A234" s="7"/>
      <c r="B234" s="7"/>
      <c r="C234" s="7"/>
      <c r="D234" s="7"/>
      <c r="E234" s="7"/>
      <c r="F234" s="17"/>
      <c r="G234" s="490"/>
      <c r="H234" s="7"/>
      <c r="I234" s="7"/>
      <c r="J234" s="7"/>
      <c r="K234" s="7"/>
      <c r="L234" s="7"/>
      <c r="M234" s="7"/>
      <c r="N234" s="7"/>
      <c r="O234" s="7"/>
      <c r="P234" s="7"/>
      <c r="Q234" s="7"/>
      <c r="R234" s="7"/>
      <c r="S234" s="7"/>
      <c r="T234" s="7"/>
      <c r="U234" s="7"/>
      <c r="V234" s="7"/>
      <c r="W234" s="7"/>
      <c r="X234" s="7"/>
      <c r="Y234" s="7"/>
      <c r="Z234" s="7"/>
      <c r="AA234" s="7"/>
      <c r="AB234" s="7"/>
      <c r="AC234" s="7"/>
      <c r="AD234" s="7"/>
      <c r="AE234" s="7"/>
      <c r="AF234" s="7"/>
      <c r="AG234" s="7"/>
      <c r="AH234" s="7"/>
    </row>
    <row r="235" spans="1:34" ht="15.75" customHeight="1" x14ac:dyDescent="0.35">
      <c r="A235" s="7"/>
      <c r="B235" s="7"/>
      <c r="C235" s="7"/>
      <c r="D235" s="7"/>
      <c r="E235" s="7"/>
      <c r="F235" s="17"/>
      <c r="G235" s="490"/>
      <c r="H235" s="7"/>
      <c r="I235" s="7"/>
      <c r="J235" s="7"/>
      <c r="K235" s="7"/>
      <c r="L235" s="7"/>
      <c r="M235" s="7"/>
      <c r="N235" s="7"/>
      <c r="O235" s="7"/>
      <c r="P235" s="7"/>
      <c r="Q235" s="7"/>
      <c r="R235" s="7"/>
      <c r="S235" s="7"/>
      <c r="T235" s="7"/>
      <c r="U235" s="7"/>
      <c r="V235" s="7"/>
      <c r="W235" s="7"/>
      <c r="X235" s="7"/>
      <c r="Y235" s="7"/>
      <c r="Z235" s="7"/>
      <c r="AA235" s="7"/>
      <c r="AB235" s="7"/>
      <c r="AC235" s="7"/>
      <c r="AD235" s="7"/>
      <c r="AE235" s="7"/>
      <c r="AF235" s="7"/>
      <c r="AG235" s="7"/>
      <c r="AH235" s="7"/>
    </row>
    <row r="236" spans="1:34" ht="15.75" customHeight="1" x14ac:dyDescent="0.35">
      <c r="A236" s="7"/>
      <c r="B236" s="7"/>
      <c r="C236" s="7"/>
      <c r="D236" s="7"/>
      <c r="E236" s="7"/>
      <c r="F236" s="17"/>
      <c r="G236" s="490"/>
      <c r="H236" s="7"/>
      <c r="I236" s="7"/>
      <c r="J236" s="7"/>
      <c r="K236" s="7"/>
      <c r="L236" s="7"/>
      <c r="M236" s="7"/>
      <c r="N236" s="7"/>
      <c r="O236" s="7"/>
      <c r="P236" s="7"/>
      <c r="Q236" s="7"/>
      <c r="R236" s="7"/>
      <c r="S236" s="7"/>
      <c r="T236" s="7"/>
      <c r="U236" s="7"/>
      <c r="V236" s="7"/>
      <c r="W236" s="7"/>
      <c r="X236" s="7"/>
      <c r="Y236" s="7"/>
      <c r="Z236" s="7"/>
      <c r="AA236" s="7"/>
      <c r="AB236" s="7"/>
      <c r="AC236" s="7"/>
      <c r="AD236" s="7"/>
      <c r="AE236" s="7"/>
      <c r="AF236" s="7"/>
      <c r="AG236" s="7"/>
      <c r="AH236" s="7"/>
    </row>
    <row r="237" spans="1:34" ht="15.75" customHeight="1" x14ac:dyDescent="0.35">
      <c r="A237" s="7"/>
      <c r="B237" s="7"/>
      <c r="C237" s="7"/>
      <c r="D237" s="7"/>
      <c r="E237" s="7"/>
      <c r="F237" s="17"/>
      <c r="G237" s="490"/>
      <c r="H237" s="7"/>
      <c r="I237" s="7"/>
      <c r="J237" s="7"/>
      <c r="K237" s="7"/>
      <c r="L237" s="7"/>
      <c r="M237" s="7"/>
      <c r="N237" s="7"/>
      <c r="O237" s="7"/>
      <c r="P237" s="7"/>
      <c r="Q237" s="7"/>
      <c r="R237" s="7"/>
      <c r="S237" s="7"/>
      <c r="T237" s="7"/>
      <c r="U237" s="7"/>
      <c r="V237" s="7"/>
      <c r="W237" s="7"/>
      <c r="X237" s="7"/>
      <c r="Y237" s="7"/>
      <c r="Z237" s="7"/>
      <c r="AA237" s="7"/>
      <c r="AB237" s="7"/>
      <c r="AC237" s="7"/>
      <c r="AD237" s="7"/>
      <c r="AE237" s="7"/>
      <c r="AF237" s="7"/>
      <c r="AG237" s="7"/>
      <c r="AH237" s="7"/>
    </row>
    <row r="238" spans="1:34" ht="15.75" customHeight="1" x14ac:dyDescent="0.35">
      <c r="A238" s="7"/>
      <c r="B238" s="7"/>
      <c r="C238" s="7"/>
      <c r="D238" s="7"/>
      <c r="E238" s="7"/>
      <c r="F238" s="17"/>
      <c r="G238" s="490"/>
      <c r="H238" s="7"/>
      <c r="I238" s="7"/>
      <c r="J238" s="7"/>
      <c r="K238" s="7"/>
      <c r="L238" s="7"/>
      <c r="M238" s="7"/>
      <c r="N238" s="7"/>
      <c r="O238" s="7"/>
      <c r="P238" s="7"/>
      <c r="Q238" s="7"/>
      <c r="R238" s="7"/>
      <c r="S238" s="7"/>
      <c r="T238" s="7"/>
      <c r="U238" s="7"/>
      <c r="V238" s="7"/>
      <c r="W238" s="7"/>
      <c r="X238" s="7"/>
      <c r="Y238" s="7"/>
      <c r="Z238" s="7"/>
      <c r="AA238" s="7"/>
      <c r="AB238" s="7"/>
      <c r="AC238" s="7"/>
      <c r="AD238" s="7"/>
      <c r="AE238" s="7"/>
      <c r="AF238" s="7"/>
      <c r="AG238" s="7"/>
      <c r="AH238" s="7"/>
    </row>
    <row r="239" spans="1:34" ht="15.75" customHeight="1" x14ac:dyDescent="0.35">
      <c r="A239" s="7"/>
      <c r="B239" s="7"/>
      <c r="C239" s="7"/>
      <c r="D239" s="7"/>
      <c r="E239" s="7"/>
      <c r="F239" s="17"/>
      <c r="G239" s="490"/>
      <c r="H239" s="7"/>
      <c r="I239" s="7"/>
      <c r="J239" s="7"/>
      <c r="K239" s="7"/>
      <c r="L239" s="7"/>
      <c r="M239" s="7"/>
      <c r="N239" s="7"/>
      <c r="O239" s="7"/>
      <c r="P239" s="7"/>
      <c r="Q239" s="7"/>
      <c r="R239" s="7"/>
      <c r="S239" s="7"/>
      <c r="T239" s="7"/>
      <c r="U239" s="7"/>
      <c r="V239" s="7"/>
      <c r="W239" s="7"/>
      <c r="X239" s="7"/>
      <c r="Y239" s="7"/>
      <c r="Z239" s="7"/>
      <c r="AA239" s="7"/>
      <c r="AB239" s="7"/>
      <c r="AC239" s="7"/>
      <c r="AD239" s="7"/>
      <c r="AE239" s="7"/>
      <c r="AF239" s="7"/>
      <c r="AG239" s="7"/>
      <c r="AH239" s="7"/>
    </row>
    <row r="240" spans="1:34" ht="15.75" customHeight="1" x14ac:dyDescent="0.35">
      <c r="A240" s="7"/>
      <c r="B240" s="7"/>
      <c r="C240" s="7"/>
      <c r="D240" s="7"/>
      <c r="E240" s="7"/>
      <c r="F240" s="17"/>
      <c r="G240" s="490"/>
      <c r="H240" s="7"/>
      <c r="I240" s="7"/>
      <c r="J240" s="7"/>
      <c r="K240" s="7"/>
      <c r="L240" s="7"/>
      <c r="M240" s="7"/>
      <c r="N240" s="7"/>
      <c r="O240" s="7"/>
      <c r="P240" s="7"/>
      <c r="Q240" s="7"/>
      <c r="R240" s="7"/>
      <c r="S240" s="7"/>
      <c r="T240" s="7"/>
      <c r="U240" s="7"/>
      <c r="V240" s="7"/>
      <c r="W240" s="7"/>
      <c r="X240" s="7"/>
      <c r="Y240" s="7"/>
      <c r="Z240" s="7"/>
      <c r="AA240" s="7"/>
      <c r="AB240" s="7"/>
      <c r="AC240" s="7"/>
      <c r="AD240" s="7"/>
      <c r="AE240" s="7"/>
      <c r="AF240" s="7"/>
      <c r="AG240" s="7"/>
      <c r="AH240" s="7"/>
    </row>
    <row r="241" spans="1:34" ht="15.75" customHeight="1" x14ac:dyDescent="0.35">
      <c r="A241" s="7"/>
      <c r="B241" s="7"/>
      <c r="C241" s="7"/>
      <c r="D241" s="7"/>
      <c r="E241" s="7"/>
      <c r="F241" s="17"/>
      <c r="G241" s="490"/>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c r="AG241" s="7"/>
      <c r="AH241" s="7"/>
    </row>
    <row r="242" spans="1:34" ht="15.75" customHeight="1" x14ac:dyDescent="0.35">
      <c r="A242" s="7"/>
      <c r="B242" s="7"/>
      <c r="C242" s="7"/>
      <c r="D242" s="7"/>
      <c r="E242" s="7"/>
      <c r="F242" s="17"/>
      <c r="G242" s="490"/>
      <c r="H242" s="7"/>
      <c r="I242" s="7"/>
      <c r="J242" s="7"/>
      <c r="K242" s="7"/>
      <c r="L242" s="7"/>
      <c r="M242" s="7"/>
      <c r="N242" s="7"/>
      <c r="O242" s="7"/>
      <c r="P242" s="7"/>
      <c r="Q242" s="7"/>
      <c r="R242" s="7"/>
      <c r="S242" s="7"/>
      <c r="T242" s="7"/>
      <c r="U242" s="7"/>
      <c r="V242" s="7"/>
      <c r="W242" s="7"/>
      <c r="X242" s="7"/>
      <c r="Y242" s="7"/>
      <c r="Z242" s="7"/>
      <c r="AA242" s="7"/>
      <c r="AB242" s="7"/>
      <c r="AC242" s="7"/>
      <c r="AD242" s="7"/>
      <c r="AE242" s="7"/>
      <c r="AF242" s="7"/>
      <c r="AG242" s="7"/>
      <c r="AH242" s="7"/>
    </row>
    <row r="243" spans="1:34" ht="15.75" customHeight="1" x14ac:dyDescent="0.35"/>
    <row r="244" spans="1:34" ht="15.75" customHeight="1" x14ac:dyDescent="0.35"/>
    <row r="245" spans="1:34" ht="15.75" customHeight="1" x14ac:dyDescent="0.35"/>
    <row r="246" spans="1:34" ht="15.75" customHeight="1" x14ac:dyDescent="0.35"/>
    <row r="247" spans="1:34" ht="15.75" customHeight="1" x14ac:dyDescent="0.35"/>
    <row r="248" spans="1:34" ht="15.75" customHeight="1" x14ac:dyDescent="0.35"/>
    <row r="249" spans="1:34" ht="15.75" customHeight="1" x14ac:dyDescent="0.35"/>
    <row r="250" spans="1:34" ht="15.75" customHeight="1" x14ac:dyDescent="0.35"/>
    <row r="251" spans="1:34" ht="15.75" customHeight="1" x14ac:dyDescent="0.35"/>
    <row r="252" spans="1:34" ht="15.75" customHeight="1" x14ac:dyDescent="0.35"/>
    <row r="253" spans="1:34" ht="15.75" customHeight="1" x14ac:dyDescent="0.35"/>
    <row r="254" spans="1:34" ht="15.75" customHeight="1" x14ac:dyDescent="0.35"/>
    <row r="255" spans="1:34" ht="15.75" customHeight="1" x14ac:dyDescent="0.35"/>
    <row r="256" spans="1:34"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row r="1001" ht="15.75" customHeight="1" x14ac:dyDescent="0.35"/>
    <row r="1002" ht="15.75" customHeight="1" x14ac:dyDescent="0.35"/>
    <row r="1003" ht="15.75" customHeight="1" x14ac:dyDescent="0.35"/>
    <row r="1004" ht="15.75" customHeight="1" x14ac:dyDescent="0.35"/>
    <row r="1005" ht="15.75" customHeight="1" x14ac:dyDescent="0.35"/>
    <row r="1006" ht="15.75" customHeight="1" x14ac:dyDescent="0.35"/>
    <row r="1007" ht="15.75" customHeight="1" x14ac:dyDescent="0.35"/>
    <row r="1008" ht="15.75" customHeight="1" x14ac:dyDescent="0.35"/>
    <row r="1009" ht="15.75" customHeight="1" x14ac:dyDescent="0.35"/>
    <row r="1010" ht="15.75" customHeight="1" x14ac:dyDescent="0.35"/>
    <row r="1011" ht="15.75" customHeight="1" x14ac:dyDescent="0.35"/>
    <row r="1012" ht="15.75" customHeight="1" x14ac:dyDescent="0.35"/>
    <row r="1013" ht="15.75" customHeight="1" x14ac:dyDescent="0.35"/>
    <row r="1014" ht="15.75" customHeight="1" x14ac:dyDescent="0.35"/>
    <row r="1015" ht="15.75" customHeight="1" x14ac:dyDescent="0.35"/>
    <row r="1016" ht="15.75" customHeight="1" x14ac:dyDescent="0.35"/>
    <row r="1017" ht="15.75" customHeight="1" x14ac:dyDescent="0.35"/>
    <row r="1018" ht="15.75" customHeight="1" x14ac:dyDescent="0.35"/>
    <row r="1019" ht="15.75" customHeight="1" x14ac:dyDescent="0.35"/>
  </sheetData>
  <sheetProtection algorithmName="SHA-512" hashValue="shyrPDv0wKzyHM8hInff0aLGMVdh4kSF1YW2nfSoz+ia44O0yu3xGWEARfhuk+W/rVH/Ks9Ug/BcMjxrJ2/TgA==" saltValue="XY/pdYQkbw4RuaqDPOi+AA==" spinCount="100000" sheet="1" objects="1" scenarios="1"/>
  <mergeCells count="11">
    <mergeCell ref="E3:G3"/>
    <mergeCell ref="B4:B19"/>
    <mergeCell ref="J33:L33"/>
    <mergeCell ref="B45:B53"/>
    <mergeCell ref="D45:H45"/>
    <mergeCell ref="E47:G52"/>
    <mergeCell ref="D4:H4"/>
    <mergeCell ref="D21:H21"/>
    <mergeCell ref="D33:H33"/>
    <mergeCell ref="B21:B31"/>
    <mergeCell ref="B33:B43"/>
  </mergeCells>
  <dataValidations count="4">
    <dataValidation type="list" allowBlank="1" showErrorMessage="1" sqref="F36" xr:uid="{00000000-0002-0000-0900-000000000000}">
      <formula1>"Yes,No,Partially"</formula1>
    </dataValidation>
    <dataValidation type="list" allowBlank="1" showErrorMessage="1" sqref="F7:F16" xr:uid="{F835CFD6-F4B4-446E-836B-6FF44D0A0701}">
      <formula1>"Yes,No"</formula1>
    </dataValidation>
    <dataValidation type="list" allowBlank="1" showInputMessage="1" showErrorMessage="1" sqref="F26" xr:uid="{ADB5DD38-96B0-4249-8B3E-B6DA309AEB5C}">
      <formula1>Backup_Power_Headers</formula1>
    </dataValidation>
    <dataValidation type="list" allowBlank="1" showInputMessage="1" showErrorMessage="1" sqref="F23" xr:uid="{6EA9A5A1-C805-4EC5-AE91-D59902F431C8}">
      <formula1>Passive_Functionality_Headers</formula1>
    </dataValidation>
  </dataValidations>
  <pageMargins left="0.7" right="0.7" top="0.75" bottom="0.75" header="0" footer="0"/>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outlinePr summaryBelow="0" summaryRight="0"/>
  </sheetPr>
  <dimension ref="A1:AL1016"/>
  <sheetViews>
    <sheetView workbookViewId="0">
      <selection activeCell="E11" sqref="E11"/>
    </sheetView>
  </sheetViews>
  <sheetFormatPr defaultColWidth="14.453125" defaultRowHeight="15" customHeight="1" x14ac:dyDescent="0.35"/>
  <cols>
    <col min="1" max="1" width="3.36328125" style="371" customWidth="1"/>
    <col min="2" max="2" width="43.36328125" style="371" customWidth="1"/>
    <col min="3" max="4" width="3.36328125" style="371" customWidth="1"/>
    <col min="5" max="5" width="64.6328125" style="371" customWidth="1"/>
    <col min="6" max="7" width="12.6328125" style="371" customWidth="1"/>
    <col min="8" max="9" width="3.36328125" style="371" customWidth="1"/>
    <col min="10" max="10" width="35" style="371" bestFit="1" customWidth="1"/>
    <col min="11" max="11" width="8.6328125" style="371" customWidth="1"/>
    <col min="12" max="12" width="30.08984375" style="371" customWidth="1"/>
    <col min="13" max="13" width="3.36328125" style="371" customWidth="1"/>
    <col min="14" max="16" width="8.6328125" style="371" customWidth="1"/>
    <col min="17" max="17" width="6" style="371" customWidth="1"/>
    <col min="18" max="16384" width="14.453125" style="371"/>
  </cols>
  <sheetData>
    <row r="1" spans="1:17" ht="21" x14ac:dyDescent="0.35">
      <c r="A1" s="343"/>
      <c r="B1" s="343" t="s">
        <v>887</v>
      </c>
      <c r="C1" s="343"/>
      <c r="D1" s="343"/>
      <c r="E1" s="343"/>
      <c r="F1" s="1348"/>
      <c r="G1" s="1348"/>
      <c r="H1" s="1348"/>
      <c r="I1" s="1348"/>
      <c r="J1" s="1348"/>
      <c r="K1" s="1348"/>
      <c r="L1" s="1348"/>
      <c r="M1" s="1348"/>
      <c r="N1" s="1348"/>
      <c r="O1" s="1348"/>
      <c r="P1" s="1348"/>
      <c r="Q1" s="1348"/>
    </row>
    <row r="2" spans="1:17" ht="14.5" x14ac:dyDescent="0.35">
      <c r="A2" s="7"/>
      <c r="B2" s="7"/>
      <c r="C2" s="7"/>
      <c r="D2" s="7"/>
      <c r="E2" s="7"/>
      <c r="F2" s="7"/>
      <c r="G2" s="7"/>
      <c r="H2" s="7"/>
      <c r="I2" s="7"/>
      <c r="J2" s="7"/>
      <c r="K2" s="7"/>
      <c r="L2" s="7"/>
      <c r="M2" s="7"/>
      <c r="N2" s="7"/>
      <c r="O2" s="7"/>
      <c r="P2" s="7"/>
      <c r="Q2" s="7"/>
    </row>
    <row r="3" spans="1:17" s="1369" customFormat="1" ht="15.75" customHeight="1" thickBot="1" x14ac:dyDescent="0.4">
      <c r="A3" s="900"/>
      <c r="B3" s="1367" t="s">
        <v>71</v>
      </c>
      <c r="C3" s="900"/>
      <c r="D3" s="900"/>
      <c r="E3" s="1367" t="s">
        <v>683</v>
      </c>
      <c r="F3" s="1368"/>
      <c r="G3" s="1368"/>
      <c r="H3" s="900"/>
      <c r="I3" s="1367"/>
      <c r="J3" s="1367" t="s">
        <v>118</v>
      </c>
      <c r="K3" s="1367"/>
      <c r="L3" s="1367"/>
      <c r="M3" s="1367"/>
      <c r="N3" s="1367" t="s">
        <v>119</v>
      </c>
      <c r="O3" s="900"/>
      <c r="P3" s="900"/>
      <c r="Q3" s="900"/>
    </row>
    <row r="4" spans="1:17" s="372" customFormat="1" ht="15.75" customHeight="1" x14ac:dyDescent="0.35">
      <c r="A4" s="7"/>
      <c r="B4" s="1811" t="s">
        <v>1143</v>
      </c>
      <c r="C4" s="7"/>
      <c r="D4" s="1808" t="s">
        <v>778</v>
      </c>
      <c r="E4" s="1809"/>
      <c r="F4" s="1809"/>
      <c r="G4" s="1809"/>
      <c r="H4" s="1810"/>
      <c r="I4" s="1370"/>
      <c r="J4" s="1371" t="s">
        <v>481</v>
      </c>
      <c r="K4" s="1371"/>
      <c r="L4" s="1371"/>
      <c r="M4" s="1372"/>
      <c r="N4" s="1371"/>
      <c r="O4" s="1371"/>
      <c r="P4" s="1371"/>
      <c r="Q4" s="7"/>
    </row>
    <row r="5" spans="1:17" ht="15.75" customHeight="1" x14ac:dyDescent="0.35">
      <c r="A5" s="7"/>
      <c r="B5" s="1663"/>
      <c r="C5" s="7"/>
      <c r="D5" s="1373"/>
      <c r="E5" s="1262"/>
      <c r="F5" s="1262"/>
      <c r="G5" s="1262"/>
      <c r="H5" s="1189"/>
      <c r="I5" s="1370"/>
      <c r="J5" s="1371"/>
      <c r="K5" s="1371"/>
      <c r="L5" s="1371"/>
      <c r="M5" s="1372"/>
      <c r="N5" s="1371"/>
      <c r="O5" s="1371"/>
      <c r="P5" s="1371"/>
      <c r="Q5" s="7"/>
    </row>
    <row r="6" spans="1:17" ht="15.75" customHeight="1" x14ac:dyDescent="0.35">
      <c r="A6" s="7"/>
      <c r="B6" s="1663"/>
      <c r="C6" s="7"/>
      <c r="D6" s="1374"/>
      <c r="E6" s="1375" t="s">
        <v>1051</v>
      </c>
      <c r="F6" s="1375"/>
      <c r="G6" s="879"/>
      <c r="H6" s="880"/>
      <c r="I6" s="1370"/>
      <c r="J6" s="1371"/>
      <c r="K6" s="1371"/>
      <c r="L6" s="1371"/>
      <c r="M6" s="1372"/>
      <c r="N6" s="1371"/>
      <c r="O6" s="1371"/>
      <c r="P6" s="1371"/>
      <c r="Q6" s="7"/>
    </row>
    <row r="7" spans="1:17" ht="15.75" customHeight="1" x14ac:dyDescent="0.35">
      <c r="A7" s="7"/>
      <c r="B7" s="1663"/>
      <c r="C7" s="7"/>
      <c r="D7" s="1374"/>
      <c r="E7" s="1219" t="s">
        <v>483</v>
      </c>
      <c r="F7" s="5"/>
      <c r="G7" s="1376" t="s">
        <v>687</v>
      </c>
      <c r="H7" s="880"/>
      <c r="I7" s="1370"/>
      <c r="J7" s="1371"/>
      <c r="K7" s="1371"/>
      <c r="L7" s="1371"/>
      <c r="M7" s="1372"/>
      <c r="N7" s="1371"/>
      <c r="O7" s="1371"/>
      <c r="P7" s="1371"/>
      <c r="Q7" s="7"/>
    </row>
    <row r="8" spans="1:17" ht="15.75" customHeight="1" x14ac:dyDescent="0.35">
      <c r="A8" s="7"/>
      <c r="B8" s="1663"/>
      <c r="C8" s="7"/>
      <c r="D8" s="1374"/>
      <c r="E8" s="1219" t="s">
        <v>484</v>
      </c>
      <c r="F8" s="5"/>
      <c r="G8" s="1376" t="s">
        <v>687</v>
      </c>
      <c r="H8" s="880"/>
      <c r="I8" s="1370"/>
      <c r="J8" s="1371"/>
      <c r="K8" s="1371"/>
      <c r="L8" s="1371"/>
      <c r="M8" s="1372"/>
      <c r="N8" s="1371"/>
      <c r="O8" s="1371"/>
      <c r="P8" s="1371"/>
      <c r="Q8" s="7"/>
    </row>
    <row r="9" spans="1:17" ht="15.75" customHeight="1" x14ac:dyDescent="0.35">
      <c r="A9" s="7"/>
      <c r="B9" s="1663"/>
      <c r="C9" s="7"/>
      <c r="D9" s="1374"/>
      <c r="E9" s="1219" t="s">
        <v>1052</v>
      </c>
      <c r="F9" s="5"/>
      <c r="G9" s="1376" t="s">
        <v>687</v>
      </c>
      <c r="H9" s="880"/>
      <c r="I9" s="1370"/>
      <c r="J9" s="1371"/>
      <c r="K9" s="1371"/>
      <c r="L9" s="1371"/>
      <c r="M9" s="1372"/>
      <c r="N9" s="1371"/>
      <c r="O9" s="1371"/>
      <c r="P9" s="1371"/>
      <c r="Q9" s="7"/>
    </row>
    <row r="10" spans="1:17" ht="15.75" customHeight="1" thickBot="1" x14ac:dyDescent="0.4">
      <c r="A10" s="7"/>
      <c r="B10" s="1663"/>
      <c r="C10" s="7"/>
      <c r="D10" s="1374"/>
      <c r="E10" s="1219" t="s">
        <v>485</v>
      </c>
      <c r="F10" s="5"/>
      <c r="G10" s="1376" t="s">
        <v>687</v>
      </c>
      <c r="H10" s="880"/>
      <c r="I10" s="1370"/>
      <c r="J10" s="1371"/>
      <c r="K10" s="1371"/>
      <c r="L10" s="1371"/>
      <c r="M10" s="1372"/>
      <c r="N10" s="1371"/>
      <c r="O10" s="1371"/>
      <c r="P10" s="1371"/>
      <c r="Q10" s="7"/>
    </row>
    <row r="11" spans="1:17" ht="15.75" customHeight="1" thickBot="1" x14ac:dyDescent="0.4">
      <c r="A11" s="7"/>
      <c r="B11" s="1663"/>
      <c r="C11" s="7"/>
      <c r="D11" s="1374"/>
      <c r="E11" s="874" t="s">
        <v>486</v>
      </c>
      <c r="F11" s="1377">
        <f>(COUNTIF(F7:F10, "Yes"))/ROWS(F7:F10)</f>
        <v>0</v>
      </c>
      <c r="G11" s="879"/>
      <c r="H11" s="880"/>
      <c r="I11" s="1370"/>
      <c r="J11" s="1371"/>
      <c r="K11" s="1371"/>
      <c r="L11" s="1371"/>
      <c r="M11" s="1372"/>
      <c r="N11" s="1371"/>
      <c r="O11" s="1371"/>
      <c r="P11" s="1371"/>
      <c r="Q11" s="7"/>
    </row>
    <row r="12" spans="1:17" ht="15.75" customHeight="1" x14ac:dyDescent="0.35">
      <c r="A12" s="7"/>
      <c r="B12" s="1663"/>
      <c r="C12" s="7"/>
      <c r="D12" s="1378"/>
      <c r="E12" s="1379"/>
      <c r="F12" s="1274"/>
      <c r="G12" s="1274"/>
      <c r="H12" s="1275"/>
      <c r="I12" s="1370"/>
      <c r="J12" s="1371"/>
      <c r="K12" s="1371"/>
      <c r="L12" s="1371"/>
      <c r="M12" s="1372"/>
      <c r="N12" s="1371"/>
      <c r="O12" s="1371"/>
      <c r="P12" s="1371"/>
      <c r="Q12" s="7"/>
    </row>
    <row r="13" spans="1:17" ht="15.75" customHeight="1" x14ac:dyDescent="0.35">
      <c r="A13" s="7"/>
      <c r="B13" s="1372"/>
      <c r="C13" s="7"/>
      <c r="D13" s="7"/>
      <c r="E13" s="1380"/>
      <c r="F13" s="316"/>
      <c r="G13" s="316"/>
      <c r="H13" s="7"/>
      <c r="I13" s="1370"/>
      <c r="J13" s="1372"/>
      <c r="K13" s="1372"/>
      <c r="L13" s="1372"/>
      <c r="M13" s="1372"/>
      <c r="N13" s="1372"/>
      <c r="O13" s="1381"/>
      <c r="P13" s="1381"/>
      <c r="Q13" s="7"/>
    </row>
    <row r="14" spans="1:17" ht="14.5" x14ac:dyDescent="0.35">
      <c r="A14" s="7"/>
      <c r="B14" s="1622" t="s">
        <v>487</v>
      </c>
      <c r="C14" s="8"/>
      <c r="D14" s="1636" t="s">
        <v>779</v>
      </c>
      <c r="E14" s="1637"/>
      <c r="F14" s="1637"/>
      <c r="G14" s="1637"/>
      <c r="H14" s="1638"/>
      <c r="I14" s="8"/>
      <c r="J14" s="1371" t="s">
        <v>481</v>
      </c>
      <c r="K14" s="1371"/>
      <c r="L14" s="1371"/>
      <c r="M14" s="892"/>
      <c r="N14" s="1371"/>
      <c r="O14" s="1371"/>
      <c r="P14" s="1371"/>
      <c r="Q14" s="7"/>
    </row>
    <row r="15" spans="1:17" ht="14.5" x14ac:dyDescent="0.35">
      <c r="A15" s="7"/>
      <c r="B15" s="1807"/>
      <c r="C15" s="8"/>
      <c r="D15" s="1352"/>
      <c r="E15" s="906"/>
      <c r="F15" s="906"/>
      <c r="G15" s="906"/>
      <c r="H15" s="823"/>
      <c r="I15" s="8"/>
      <c r="J15" s="1371"/>
      <c r="K15" s="1371"/>
      <c r="L15" s="1371"/>
      <c r="M15" s="892"/>
      <c r="N15" s="1371"/>
      <c r="O15" s="1371"/>
      <c r="P15" s="1371"/>
      <c r="Q15" s="7"/>
    </row>
    <row r="16" spans="1:17" ht="14.5" x14ac:dyDescent="0.35">
      <c r="A16" s="7"/>
      <c r="B16" s="1807"/>
      <c r="C16" s="8"/>
      <c r="D16" s="991"/>
      <c r="E16" s="1353" t="s">
        <v>482</v>
      </c>
      <c r="F16" s="1353"/>
      <c r="G16" s="11"/>
      <c r="H16" s="813"/>
      <c r="I16" s="8"/>
      <c r="J16" s="1371"/>
      <c r="K16" s="1371"/>
      <c r="L16" s="1371"/>
      <c r="M16" s="892"/>
      <c r="N16" s="1371"/>
      <c r="O16" s="1371"/>
      <c r="P16" s="1371"/>
      <c r="Q16" s="7"/>
    </row>
    <row r="17" spans="1:17" ht="14.5" x14ac:dyDescent="0.35">
      <c r="A17" s="7"/>
      <c r="B17" s="1807"/>
      <c r="C17" s="8"/>
      <c r="D17" s="991"/>
      <c r="E17" s="344" t="s">
        <v>1147</v>
      </c>
      <c r="F17" s="5"/>
      <c r="G17" s="1357" t="s">
        <v>687</v>
      </c>
      <c r="H17" s="813"/>
      <c r="I17" s="8"/>
      <c r="J17" s="1371"/>
      <c r="K17" s="1371"/>
      <c r="L17" s="1371"/>
      <c r="M17" s="892"/>
      <c r="N17" s="1371"/>
      <c r="O17" s="1371"/>
      <c r="P17" s="1371"/>
      <c r="Q17" s="7"/>
    </row>
    <row r="18" spans="1:17" ht="14.5" x14ac:dyDescent="0.35">
      <c r="A18" s="7"/>
      <c r="B18" s="1807"/>
      <c r="C18" s="8"/>
      <c r="D18" s="991"/>
      <c r="E18" s="344" t="s">
        <v>1148</v>
      </c>
      <c r="F18" s="5"/>
      <c r="G18" s="1357" t="s">
        <v>687</v>
      </c>
      <c r="H18" s="813"/>
      <c r="I18" s="8"/>
      <c r="J18" s="1371"/>
      <c r="K18" s="1371"/>
      <c r="L18" s="1371"/>
      <c r="M18" s="892"/>
      <c r="N18" s="1371"/>
      <c r="O18" s="1371"/>
      <c r="P18" s="1371"/>
      <c r="Q18" s="7"/>
    </row>
    <row r="19" spans="1:17" ht="14.5" x14ac:dyDescent="0.35">
      <c r="A19" s="7"/>
      <c r="B19" s="1807"/>
      <c r="C19" s="8"/>
      <c r="D19" s="991"/>
      <c r="E19" s="344" t="s">
        <v>1144</v>
      </c>
      <c r="F19" s="5"/>
      <c r="G19" s="1357" t="s">
        <v>687</v>
      </c>
      <c r="H19" s="813"/>
      <c r="I19" s="8"/>
      <c r="J19" s="1371"/>
      <c r="K19" s="1371"/>
      <c r="L19" s="1371"/>
      <c r="M19" s="892"/>
      <c r="N19" s="1371"/>
      <c r="O19" s="1371"/>
      <c r="P19" s="1371"/>
      <c r="Q19" s="7"/>
    </row>
    <row r="20" spans="1:17" ht="14.5" x14ac:dyDescent="0.35">
      <c r="A20" s="7"/>
      <c r="B20" s="1807"/>
      <c r="C20" s="8"/>
      <c r="D20" s="991"/>
      <c r="E20" s="344" t="s">
        <v>1145</v>
      </c>
      <c r="F20" s="5"/>
      <c r="G20" s="1357" t="s">
        <v>687</v>
      </c>
      <c r="H20" s="813"/>
      <c r="I20" s="8"/>
      <c r="J20" s="1371"/>
      <c r="K20" s="1371"/>
      <c r="L20" s="1371"/>
      <c r="M20" s="892"/>
      <c r="N20" s="1371"/>
      <c r="O20" s="1371"/>
      <c r="P20" s="1371"/>
      <c r="Q20" s="7"/>
    </row>
    <row r="21" spans="1:17" ht="14.5" x14ac:dyDescent="0.35">
      <c r="A21" s="7"/>
      <c r="B21" s="1807"/>
      <c r="C21" s="8"/>
      <c r="D21" s="991"/>
      <c r="E21" s="344" t="s">
        <v>1146</v>
      </c>
      <c r="F21" s="5"/>
      <c r="G21" s="1357" t="s">
        <v>687</v>
      </c>
      <c r="H21" s="813"/>
      <c r="I21" s="8"/>
      <c r="J21" s="1371"/>
      <c r="K21" s="1371"/>
      <c r="L21" s="1371"/>
      <c r="M21" s="892"/>
      <c r="N21" s="1371"/>
      <c r="O21" s="1371"/>
      <c r="P21" s="1371"/>
      <c r="Q21" s="7"/>
    </row>
    <row r="22" spans="1:17" ht="14.5" x14ac:dyDescent="0.35">
      <c r="A22" s="7"/>
      <c r="B22" s="1807"/>
      <c r="C22" s="8"/>
      <c r="D22" s="991"/>
      <c r="E22" s="344" t="s">
        <v>1149</v>
      </c>
      <c r="F22" s="5"/>
      <c r="G22" s="1357" t="s">
        <v>687</v>
      </c>
      <c r="H22" s="813"/>
      <c r="I22" s="8"/>
      <c r="J22" s="1371"/>
      <c r="K22" s="1371"/>
      <c r="L22" s="1371"/>
      <c r="M22" s="892"/>
      <c r="N22" s="1371"/>
      <c r="O22" s="1371"/>
      <c r="P22" s="1371"/>
      <c r="Q22" s="7"/>
    </row>
    <row r="23" spans="1:17" thickBot="1" x14ac:dyDescent="0.4">
      <c r="A23" s="7"/>
      <c r="B23" s="1807"/>
      <c r="C23" s="8"/>
      <c r="D23" s="991"/>
      <c r="E23" s="344" t="s">
        <v>1150</v>
      </c>
      <c r="F23" s="5"/>
      <c r="G23" s="1357" t="s">
        <v>687</v>
      </c>
      <c r="H23" s="813"/>
      <c r="I23" s="8"/>
      <c r="J23" s="1371"/>
      <c r="K23" s="1371"/>
      <c r="L23" s="1371"/>
      <c r="M23" s="892"/>
      <c r="N23" s="1371"/>
      <c r="O23" s="1371"/>
      <c r="P23" s="1371"/>
      <c r="Q23" s="7"/>
    </row>
    <row r="24" spans="1:17" thickBot="1" x14ac:dyDescent="0.4">
      <c r="A24" s="7"/>
      <c r="B24" s="1807"/>
      <c r="C24" s="8"/>
      <c r="D24" s="991"/>
      <c r="E24" s="816" t="s">
        <v>488</v>
      </c>
      <c r="F24" s="1382">
        <f>(COUNTIF(F17:F23, "Yes"))/(ROWS(F17:F23))</f>
        <v>0</v>
      </c>
      <c r="G24" s="11"/>
      <c r="H24" s="813"/>
      <c r="I24" s="8"/>
      <c r="J24" s="1371"/>
      <c r="K24" s="1371"/>
      <c r="L24" s="1371"/>
      <c r="M24" s="892"/>
      <c r="N24" s="1371"/>
      <c r="O24" s="1371"/>
      <c r="P24" s="1371"/>
      <c r="Q24" s="7"/>
    </row>
    <row r="25" spans="1:17" ht="14.5" x14ac:dyDescent="0.35">
      <c r="A25" s="7"/>
      <c r="B25" s="1807"/>
      <c r="C25" s="8"/>
      <c r="D25" s="1355"/>
      <c r="E25" s="947"/>
      <c r="F25" s="947"/>
      <c r="G25" s="947"/>
      <c r="H25" s="841"/>
      <c r="I25" s="8"/>
      <c r="J25" s="1371"/>
      <c r="K25" s="1371"/>
      <c r="L25" s="1371"/>
      <c r="M25" s="892"/>
      <c r="N25" s="1371"/>
      <c r="O25" s="1371"/>
      <c r="P25" s="1371"/>
      <c r="Q25" s="7"/>
    </row>
    <row r="26" spans="1:17" ht="14.5" x14ac:dyDescent="0.35">
      <c r="A26" s="7"/>
      <c r="B26" s="892"/>
      <c r="C26" s="8"/>
      <c r="D26" s="8"/>
      <c r="E26" s="8"/>
      <c r="F26" s="8"/>
      <c r="G26" s="8"/>
      <c r="H26" s="8"/>
      <c r="I26" s="8"/>
      <c r="J26" s="892"/>
      <c r="K26" s="892"/>
      <c r="L26" s="892"/>
      <c r="M26" s="892"/>
      <c r="N26" s="892"/>
      <c r="O26" s="892"/>
      <c r="P26" s="892"/>
      <c r="Q26" s="7"/>
    </row>
    <row r="27" spans="1:17" ht="14.5" x14ac:dyDescent="0.35">
      <c r="A27" s="7"/>
      <c r="B27" s="1622" t="s">
        <v>489</v>
      </c>
      <c r="C27" s="8"/>
      <c r="D27" s="1656" t="s">
        <v>780</v>
      </c>
      <c r="E27" s="1657"/>
      <c r="F27" s="1657"/>
      <c r="G27" s="1657"/>
      <c r="H27" s="1658"/>
      <c r="I27" s="8"/>
      <c r="J27" s="1371" t="s">
        <v>481</v>
      </c>
      <c r="K27" s="1371"/>
      <c r="L27" s="1371"/>
      <c r="M27" s="892"/>
      <c r="N27" s="1371"/>
      <c r="O27" s="1371"/>
      <c r="P27" s="1371"/>
      <c r="Q27" s="7"/>
    </row>
    <row r="28" spans="1:17" ht="14.5" x14ac:dyDescent="0.35">
      <c r="A28" s="7"/>
      <c r="B28" s="1807"/>
      <c r="C28" s="8"/>
      <c r="D28" s="1358"/>
      <c r="E28" s="1262"/>
      <c r="F28" s="1262"/>
      <c r="G28" s="1262"/>
      <c r="H28" s="1189"/>
      <c r="I28" s="8"/>
      <c r="J28" s="1371"/>
      <c r="K28" s="1371"/>
      <c r="L28" s="1371"/>
      <c r="M28" s="892"/>
      <c r="N28" s="1371"/>
      <c r="O28" s="1371"/>
      <c r="P28" s="1371"/>
      <c r="Q28" s="7"/>
    </row>
    <row r="29" spans="1:17" ht="14.5" x14ac:dyDescent="0.35">
      <c r="A29" s="7"/>
      <c r="B29" s="1807"/>
      <c r="C29" s="8"/>
      <c r="D29" s="1361"/>
      <c r="E29" s="1375" t="s">
        <v>490</v>
      </c>
      <c r="F29" s="1383"/>
      <c r="G29" s="879"/>
      <c r="H29" s="880"/>
      <c r="I29" s="8"/>
      <c r="J29" s="1371"/>
      <c r="K29" s="1371"/>
      <c r="L29" s="1371"/>
      <c r="M29" s="892"/>
      <c r="N29" s="1371"/>
      <c r="O29" s="1371"/>
      <c r="P29" s="1371"/>
      <c r="Q29" s="7"/>
    </row>
    <row r="30" spans="1:17" ht="14.5" x14ac:dyDescent="0.35">
      <c r="A30" s="7"/>
      <c r="B30" s="1807"/>
      <c r="C30" s="8"/>
      <c r="D30" s="1361"/>
      <c r="E30" s="1219" t="s">
        <v>491</v>
      </c>
      <c r="F30" s="5"/>
      <c r="G30" s="1376" t="s">
        <v>687</v>
      </c>
      <c r="H30" s="880"/>
      <c r="I30" s="8"/>
      <c r="J30" s="1371"/>
      <c r="K30" s="1371"/>
      <c r="L30" s="1371"/>
      <c r="M30" s="892"/>
      <c r="N30" s="1371"/>
      <c r="O30" s="1371"/>
      <c r="P30" s="1371"/>
      <c r="Q30" s="7"/>
    </row>
    <row r="31" spans="1:17" ht="14.5" x14ac:dyDescent="0.35">
      <c r="A31" s="7"/>
      <c r="B31" s="1807"/>
      <c r="C31" s="8"/>
      <c r="D31" s="1361"/>
      <c r="E31" s="1219" t="s">
        <v>493</v>
      </c>
      <c r="F31" s="5"/>
      <c r="G31" s="1376" t="s">
        <v>687</v>
      </c>
      <c r="H31" s="880"/>
      <c r="I31" s="8"/>
      <c r="J31" s="1371"/>
      <c r="K31" s="1371"/>
      <c r="L31" s="1371"/>
      <c r="M31" s="892"/>
      <c r="N31" s="1371"/>
      <c r="O31" s="1371"/>
      <c r="P31" s="1371"/>
      <c r="Q31" s="7"/>
    </row>
    <row r="32" spans="1:17" ht="15.75" customHeight="1" x14ac:dyDescent="0.35">
      <c r="A32" s="7"/>
      <c r="B32" s="1807"/>
      <c r="C32" s="8"/>
      <c r="D32" s="1361"/>
      <c r="E32" s="1219" t="s">
        <v>495</v>
      </c>
      <c r="F32" s="5"/>
      <c r="G32" s="1376" t="s">
        <v>687</v>
      </c>
      <c r="H32" s="880"/>
      <c r="I32" s="8"/>
      <c r="J32" s="1371"/>
      <c r="K32" s="1371"/>
      <c r="L32" s="1371"/>
      <c r="M32" s="892"/>
      <c r="N32" s="1371"/>
      <c r="O32" s="1371"/>
      <c r="P32" s="1371"/>
      <c r="Q32" s="7"/>
    </row>
    <row r="33" spans="1:17" ht="15.75" customHeight="1" x14ac:dyDescent="0.35">
      <c r="A33" s="7"/>
      <c r="B33" s="1807"/>
      <c r="C33" s="8"/>
      <c r="D33" s="1361"/>
      <c r="E33" s="1219" t="s">
        <v>1151</v>
      </c>
      <c r="F33" s="5"/>
      <c r="G33" s="1376" t="s">
        <v>687</v>
      </c>
      <c r="H33" s="880"/>
      <c r="I33" s="8"/>
      <c r="J33" s="1371"/>
      <c r="K33" s="1371"/>
      <c r="L33" s="1371"/>
      <c r="M33" s="892"/>
      <c r="N33" s="1371"/>
      <c r="O33" s="1371"/>
      <c r="P33" s="1371"/>
      <c r="Q33" s="7"/>
    </row>
    <row r="34" spans="1:17" ht="15.75" customHeight="1" x14ac:dyDescent="0.35">
      <c r="A34" s="7"/>
      <c r="B34" s="1807"/>
      <c r="C34" s="8"/>
      <c r="D34" s="1361"/>
      <c r="E34" s="373" t="s">
        <v>498</v>
      </c>
      <c r="F34" s="5"/>
      <c r="G34" s="879"/>
      <c r="H34" s="880"/>
      <c r="I34" s="8"/>
      <c r="J34" s="1371"/>
      <c r="K34" s="1371"/>
      <c r="L34" s="1371"/>
      <c r="M34" s="892"/>
      <c r="N34" s="1371"/>
      <c r="O34" s="1371"/>
      <c r="P34" s="1371"/>
      <c r="Q34" s="7"/>
    </row>
    <row r="35" spans="1:17" ht="15.75" customHeight="1" x14ac:dyDescent="0.35">
      <c r="A35" s="7"/>
      <c r="B35" s="1807"/>
      <c r="C35" s="8"/>
      <c r="D35" s="1361"/>
      <c r="E35" s="1219" t="s">
        <v>492</v>
      </c>
      <c r="F35" s="5"/>
      <c r="G35" s="1376" t="s">
        <v>687</v>
      </c>
      <c r="H35" s="880"/>
      <c r="I35" s="8"/>
      <c r="J35" s="1371"/>
      <c r="K35" s="1371"/>
      <c r="L35" s="1371"/>
      <c r="M35" s="892"/>
      <c r="N35" s="1371"/>
      <c r="O35" s="1371"/>
      <c r="P35" s="1371"/>
      <c r="Q35" s="7"/>
    </row>
    <row r="36" spans="1:17" ht="15.75" customHeight="1" x14ac:dyDescent="0.35">
      <c r="A36" s="7"/>
      <c r="B36" s="1807"/>
      <c r="C36" s="8"/>
      <c r="D36" s="1361"/>
      <c r="E36" s="1219" t="s">
        <v>494</v>
      </c>
      <c r="F36" s="5"/>
      <c r="G36" s="1376" t="s">
        <v>687</v>
      </c>
      <c r="H36" s="880"/>
      <c r="I36" s="8"/>
      <c r="J36" s="1371"/>
      <c r="K36" s="1371"/>
      <c r="L36" s="1371"/>
      <c r="M36" s="892"/>
      <c r="N36" s="1371"/>
      <c r="O36" s="1371"/>
      <c r="P36" s="1371"/>
      <c r="Q36" s="7"/>
    </row>
    <row r="37" spans="1:17" ht="15.75" customHeight="1" x14ac:dyDescent="0.35">
      <c r="A37" s="7"/>
      <c r="B37" s="1807"/>
      <c r="C37" s="8"/>
      <c r="D37" s="1361"/>
      <c r="E37" s="1219" t="s">
        <v>496</v>
      </c>
      <c r="F37" s="5"/>
      <c r="G37" s="1376" t="s">
        <v>687</v>
      </c>
      <c r="H37" s="880"/>
      <c r="I37" s="8"/>
      <c r="J37" s="1371"/>
      <c r="K37" s="1371"/>
      <c r="L37" s="1371"/>
      <c r="M37" s="892"/>
      <c r="N37" s="1371"/>
      <c r="O37" s="1371"/>
      <c r="P37" s="1371"/>
      <c r="Q37" s="7"/>
    </row>
    <row r="38" spans="1:17" ht="15.75" customHeight="1" x14ac:dyDescent="0.35">
      <c r="A38" s="7"/>
      <c r="B38" s="1807"/>
      <c r="C38" s="8"/>
      <c r="D38" s="1361"/>
      <c r="E38" s="1219" t="s">
        <v>497</v>
      </c>
      <c r="F38" s="5"/>
      <c r="G38" s="1376" t="s">
        <v>687</v>
      </c>
      <c r="H38" s="880"/>
      <c r="I38" s="8"/>
      <c r="J38" s="1371"/>
      <c r="K38" s="1371"/>
      <c r="L38" s="1371"/>
      <c r="M38" s="892"/>
      <c r="N38" s="1371"/>
      <c r="O38" s="1371"/>
      <c r="P38" s="1371"/>
      <c r="Q38" s="7"/>
    </row>
    <row r="39" spans="1:17" ht="15.75" customHeight="1" thickBot="1" x14ac:dyDescent="0.4">
      <c r="A39" s="7"/>
      <c r="B39" s="1807"/>
      <c r="C39" s="8"/>
      <c r="D39" s="1361"/>
      <c r="E39" s="373" t="s">
        <v>498</v>
      </c>
      <c r="F39" s="5"/>
      <c r="G39" s="879"/>
      <c r="H39" s="880"/>
      <c r="I39" s="8"/>
      <c r="J39" s="1371"/>
      <c r="K39" s="1371"/>
      <c r="L39" s="1371"/>
      <c r="M39" s="892"/>
      <c r="N39" s="1371"/>
      <c r="O39" s="1371"/>
      <c r="P39" s="1371"/>
      <c r="Q39" s="7"/>
    </row>
    <row r="40" spans="1:17" ht="15.75" customHeight="1" thickBot="1" x14ac:dyDescent="0.4">
      <c r="A40" s="7"/>
      <c r="B40" s="1807"/>
      <c r="C40" s="8"/>
      <c r="D40" s="1361"/>
      <c r="E40" s="874" t="s">
        <v>499</v>
      </c>
      <c r="F40" s="1377">
        <f>(COUNTIF(F30:F34, "Yes") +COUNTIF(F35:F39, "Yes"))/(ROWS(F30:F34) +ROWS(F35:F39))</f>
        <v>0</v>
      </c>
      <c r="G40" s="879"/>
      <c r="H40" s="880"/>
      <c r="I40" s="8"/>
      <c r="J40" s="1371"/>
      <c r="K40" s="1371"/>
      <c r="L40" s="1371"/>
      <c r="M40" s="892"/>
      <c r="N40" s="1371"/>
      <c r="O40" s="1371"/>
      <c r="P40" s="1371"/>
      <c r="Q40" s="7"/>
    </row>
    <row r="41" spans="1:17" ht="15.75" customHeight="1" x14ac:dyDescent="0.35">
      <c r="A41" s="7"/>
      <c r="B41" s="1807"/>
      <c r="C41" s="8"/>
      <c r="D41" s="1364"/>
      <c r="E41" s="1319"/>
      <c r="F41" s="1274"/>
      <c r="G41" s="1274"/>
      <c r="H41" s="1275"/>
      <c r="I41" s="8"/>
      <c r="J41" s="1371"/>
      <c r="K41" s="1371"/>
      <c r="L41" s="1371"/>
      <c r="M41" s="892"/>
      <c r="N41" s="1371"/>
      <c r="O41" s="1371"/>
      <c r="P41" s="1371"/>
      <c r="Q41" s="7"/>
    </row>
    <row r="42" spans="1:17" ht="15.75" customHeight="1" x14ac:dyDescent="0.35">
      <c r="A42" s="7"/>
      <c r="B42" s="892"/>
      <c r="C42" s="8"/>
      <c r="D42" s="8"/>
      <c r="E42" s="8"/>
      <c r="F42" s="8"/>
      <c r="G42" s="8"/>
      <c r="H42" s="8"/>
      <c r="I42" s="8"/>
      <c r="J42" s="892"/>
      <c r="K42" s="892"/>
      <c r="L42" s="892"/>
      <c r="M42" s="892"/>
      <c r="N42" s="892"/>
      <c r="O42" s="892"/>
      <c r="P42" s="892"/>
      <c r="Q42" s="7"/>
    </row>
    <row r="43" spans="1:17" ht="15.75" customHeight="1" x14ac:dyDescent="0.35">
      <c r="A43" s="7"/>
      <c r="B43" s="1663" t="s">
        <v>500</v>
      </c>
      <c r="C43" s="8"/>
      <c r="D43" s="1656" t="s">
        <v>781</v>
      </c>
      <c r="E43" s="1657"/>
      <c r="F43" s="1657"/>
      <c r="G43" s="1657"/>
      <c r="H43" s="1658"/>
      <c r="I43" s="8"/>
      <c r="J43" s="1384" t="s">
        <v>873</v>
      </c>
      <c r="K43" s="1385"/>
      <c r="L43" s="1385"/>
      <c r="M43" s="892"/>
      <c r="N43" s="1371"/>
      <c r="O43" s="1371"/>
      <c r="P43" s="1371"/>
      <c r="Q43" s="7"/>
    </row>
    <row r="44" spans="1:17" ht="15.75" customHeight="1" x14ac:dyDescent="0.35">
      <c r="A44" s="7"/>
      <c r="B44" s="1663"/>
      <c r="C44" s="8"/>
      <c r="D44" s="1358"/>
      <c r="E44" s="1300"/>
      <c r="F44" s="1300"/>
      <c r="G44" s="1300"/>
      <c r="H44" s="1313"/>
      <c r="I44" s="8"/>
      <c r="J44" s="1386" t="s">
        <v>501</v>
      </c>
      <c r="K44" s="1387">
        <v>0</v>
      </c>
      <c r="L44" s="1371" t="s">
        <v>502</v>
      </c>
      <c r="M44" s="892"/>
      <c r="N44" s="1371"/>
      <c r="O44" s="1371"/>
      <c r="P44" s="1371"/>
      <c r="Q44" s="7"/>
    </row>
    <row r="45" spans="1:17" ht="15.75" customHeight="1" x14ac:dyDescent="0.35">
      <c r="A45" s="7"/>
      <c r="B45" s="1663"/>
      <c r="C45" s="8"/>
      <c r="D45" s="1361"/>
      <c r="E45" s="1388" t="s">
        <v>504</v>
      </c>
      <c r="F45" s="1389"/>
      <c r="G45" s="879"/>
      <c r="H45" s="1315"/>
      <c r="I45" s="8"/>
      <c r="J45" s="1386" t="s">
        <v>503</v>
      </c>
      <c r="K45" s="1387">
        <v>1</v>
      </c>
      <c r="L45" s="1371" t="s">
        <v>455</v>
      </c>
      <c r="M45" s="892"/>
      <c r="N45" s="1371"/>
      <c r="O45" s="1371"/>
      <c r="P45" s="1371"/>
      <c r="Q45" s="7"/>
    </row>
    <row r="46" spans="1:17" ht="15.75" customHeight="1" x14ac:dyDescent="0.35">
      <c r="A46" s="7"/>
      <c r="B46" s="1663"/>
      <c r="C46" s="8"/>
      <c r="D46" s="1361"/>
      <c r="E46" s="1805"/>
      <c r="F46" s="1806"/>
      <c r="G46" s="1376" t="s">
        <v>687</v>
      </c>
      <c r="H46" s="1315"/>
      <c r="I46" s="8"/>
      <c r="J46" s="1386" t="s">
        <v>505</v>
      </c>
      <c r="K46" s="1387">
        <v>2</v>
      </c>
      <c r="L46" s="1371" t="s">
        <v>377</v>
      </c>
      <c r="M46" s="892"/>
      <c r="N46" s="1371"/>
      <c r="O46" s="1371"/>
      <c r="P46" s="1371"/>
      <c r="Q46" s="7"/>
    </row>
    <row r="47" spans="1:17" ht="15.75" customHeight="1" thickBot="1" x14ac:dyDescent="0.4">
      <c r="A47" s="7"/>
      <c r="B47" s="1663"/>
      <c r="C47" s="8"/>
      <c r="D47" s="1361"/>
      <c r="E47" s="879"/>
      <c r="F47" s="879"/>
      <c r="G47" s="879"/>
      <c r="H47" s="880"/>
      <c r="I47" s="8"/>
      <c r="J47" s="1386" t="s">
        <v>506</v>
      </c>
      <c r="K47" s="1387">
        <v>3</v>
      </c>
      <c r="L47" s="1371" t="s">
        <v>163</v>
      </c>
      <c r="M47" s="892"/>
      <c r="N47" s="1371"/>
      <c r="O47" s="1371"/>
      <c r="P47" s="1371"/>
      <c r="Q47" s="7"/>
    </row>
    <row r="48" spans="1:17" ht="15.75" customHeight="1" thickBot="1" x14ac:dyDescent="0.4">
      <c r="A48" s="7"/>
      <c r="B48" s="1663"/>
      <c r="C48" s="8"/>
      <c r="D48" s="1361"/>
      <c r="E48" s="874" t="s">
        <v>508</v>
      </c>
      <c r="F48" s="315">
        <f>IFERROR(VLOOKUP(Feedback_Selected,Feedback_Table,2,FALSE),0)/MAX(Feedback_Table)</f>
        <v>0</v>
      </c>
      <c r="G48" s="879"/>
      <c r="H48" s="880"/>
      <c r="I48" s="8"/>
      <c r="J48" s="1386" t="s">
        <v>507</v>
      </c>
      <c r="K48" s="1387">
        <v>4</v>
      </c>
      <c r="L48" s="1371" t="s">
        <v>168</v>
      </c>
      <c r="M48" s="892"/>
      <c r="N48" s="1371"/>
      <c r="O48" s="1371"/>
      <c r="P48" s="1371"/>
      <c r="Q48" s="7"/>
    </row>
    <row r="49" spans="1:38" ht="15.75" customHeight="1" x14ac:dyDescent="0.35">
      <c r="A49" s="7"/>
      <c r="B49" s="1663"/>
      <c r="C49" s="7"/>
      <c r="D49" s="1378"/>
      <c r="E49" s="1274"/>
      <c r="F49" s="1274"/>
      <c r="G49" s="1274"/>
      <c r="H49" s="1275"/>
      <c r="I49" s="7"/>
      <c r="J49" s="1386" t="s">
        <v>509</v>
      </c>
      <c r="K49" s="1387">
        <v>5</v>
      </c>
      <c r="L49" s="1371" t="s">
        <v>173</v>
      </c>
      <c r="M49" s="7"/>
      <c r="N49" s="1371"/>
      <c r="O49" s="1371"/>
      <c r="P49" s="1371"/>
      <c r="Q49" s="7"/>
    </row>
    <row r="50" spans="1:38" ht="15.75" customHeight="1" x14ac:dyDescent="0.35">
      <c r="A50" s="7"/>
      <c r="B50" s="7"/>
      <c r="C50" s="7"/>
      <c r="D50" s="7"/>
      <c r="E50" s="7"/>
      <c r="F50" s="7"/>
      <c r="G50" s="7"/>
      <c r="H50" s="7"/>
      <c r="I50" s="7"/>
      <c r="J50" s="7"/>
      <c r="K50" s="7"/>
      <c r="L50" s="7"/>
      <c r="M50" s="7"/>
      <c r="N50" s="7"/>
      <c r="O50" s="7"/>
      <c r="P50" s="7"/>
      <c r="Q50" s="7"/>
    </row>
    <row r="51" spans="1:38" s="329" customFormat="1" ht="15" customHeight="1" x14ac:dyDescent="0.35">
      <c r="A51" s="484"/>
      <c r="B51" s="1622" t="s">
        <v>976</v>
      </c>
      <c r="C51" s="484"/>
      <c r="D51" s="1656" t="s">
        <v>882</v>
      </c>
      <c r="E51" s="1657"/>
      <c r="F51" s="1657"/>
      <c r="G51" s="1657"/>
      <c r="H51" s="1658"/>
      <c r="I51" s="1"/>
      <c r="J51" s="751"/>
      <c r="K51" s="751"/>
      <c r="L51" s="751"/>
      <c r="M51" s="8"/>
      <c r="N51" s="751"/>
      <c r="O51" s="751"/>
      <c r="P51" s="751"/>
      <c r="Q51" s="8"/>
      <c r="R51" s="275"/>
      <c r="S51" s="353"/>
      <c r="T51" s="353"/>
      <c r="U51" s="353"/>
      <c r="V51" s="353"/>
      <c r="W51" s="353"/>
      <c r="X51" s="353"/>
      <c r="Y51" s="353"/>
      <c r="Z51" s="353"/>
      <c r="AA51" s="353"/>
      <c r="AB51" s="353"/>
      <c r="AC51" s="353"/>
      <c r="AD51" s="353"/>
      <c r="AE51" s="353"/>
      <c r="AF51" s="353"/>
      <c r="AG51" s="353"/>
      <c r="AH51" s="353"/>
      <c r="AI51" s="353"/>
      <c r="AJ51" s="353"/>
      <c r="AK51" s="353"/>
      <c r="AL51" s="353"/>
    </row>
    <row r="52" spans="1:38" s="329" customFormat="1" ht="14.5" x14ac:dyDescent="0.35">
      <c r="A52" s="484"/>
      <c r="B52" s="1708"/>
      <c r="C52" s="484"/>
      <c r="D52" s="771"/>
      <c r="E52" s="772"/>
      <c r="F52" s="772"/>
      <c r="G52" s="772"/>
      <c r="H52" s="1343"/>
      <c r="I52" s="1"/>
      <c r="J52" s="751"/>
      <c r="K52" s="751"/>
      <c r="L52" s="751"/>
      <c r="M52" s="8"/>
      <c r="N52" s="751"/>
      <c r="O52" s="751"/>
      <c r="P52" s="751"/>
      <c r="Q52" s="8"/>
      <c r="R52" s="275"/>
      <c r="S52" s="353"/>
      <c r="T52" s="353"/>
      <c r="U52" s="353"/>
      <c r="V52" s="353"/>
      <c r="W52" s="353"/>
      <c r="X52" s="353"/>
      <c r="Y52" s="353"/>
      <c r="Z52" s="353"/>
      <c r="AA52" s="353"/>
      <c r="AB52" s="353"/>
      <c r="AC52" s="353"/>
      <c r="AD52" s="353"/>
      <c r="AE52" s="353"/>
      <c r="AF52" s="353"/>
      <c r="AG52" s="353"/>
      <c r="AH52" s="353"/>
      <c r="AI52" s="353"/>
      <c r="AJ52" s="353"/>
      <c r="AK52" s="353"/>
      <c r="AL52" s="353"/>
    </row>
    <row r="53" spans="1:38" s="329" customFormat="1" ht="14.5" x14ac:dyDescent="0.35">
      <c r="A53" s="484"/>
      <c r="B53" s="1708"/>
      <c r="C53" s="484"/>
      <c r="D53" s="786"/>
      <c r="E53" s="1647"/>
      <c r="F53" s="1648"/>
      <c r="G53" s="1649"/>
      <c r="H53" s="1344"/>
      <c r="I53" s="1"/>
      <c r="J53" s="751"/>
      <c r="K53" s="751"/>
      <c r="L53" s="751"/>
      <c r="M53" s="8"/>
      <c r="N53" s="751"/>
      <c r="O53" s="751"/>
      <c r="P53" s="751"/>
      <c r="Q53" s="8"/>
      <c r="R53" s="275"/>
      <c r="S53" s="353"/>
      <c r="T53" s="353"/>
      <c r="U53" s="353"/>
      <c r="V53" s="353"/>
      <c r="W53" s="353"/>
      <c r="X53" s="353"/>
      <c r="Y53" s="353"/>
      <c r="Z53" s="353"/>
      <c r="AA53" s="353"/>
      <c r="AB53" s="353"/>
      <c r="AC53" s="353"/>
      <c r="AD53" s="353"/>
      <c r="AE53" s="353"/>
      <c r="AF53" s="353"/>
      <c r="AG53" s="353"/>
      <c r="AH53" s="353"/>
      <c r="AI53" s="353"/>
      <c r="AJ53" s="353"/>
      <c r="AK53" s="353"/>
      <c r="AL53" s="353"/>
    </row>
    <row r="54" spans="1:38" s="329" customFormat="1" ht="14.5" x14ac:dyDescent="0.35">
      <c r="A54" s="484"/>
      <c r="B54" s="1708"/>
      <c r="C54" s="484"/>
      <c r="D54" s="786"/>
      <c r="E54" s="1650"/>
      <c r="F54" s="1651"/>
      <c r="G54" s="1652"/>
      <c r="H54" s="1344"/>
      <c r="I54" s="1"/>
      <c r="J54" s="751"/>
      <c r="K54" s="751"/>
      <c r="L54" s="751"/>
      <c r="M54" s="8"/>
      <c r="N54" s="751"/>
      <c r="O54" s="751"/>
      <c r="P54" s="751"/>
      <c r="Q54" s="8"/>
      <c r="R54" s="275"/>
      <c r="S54" s="353"/>
      <c r="T54" s="353"/>
      <c r="U54" s="353"/>
      <c r="V54" s="353"/>
      <c r="W54" s="353"/>
      <c r="X54" s="353"/>
      <c r="Y54" s="353"/>
      <c r="Z54" s="353"/>
      <c r="AA54" s="353"/>
      <c r="AB54" s="353"/>
      <c r="AC54" s="353"/>
      <c r="AD54" s="353"/>
      <c r="AE54" s="353"/>
      <c r="AF54" s="353"/>
      <c r="AG54" s="353"/>
      <c r="AH54" s="353"/>
      <c r="AI54" s="353"/>
      <c r="AJ54" s="353"/>
      <c r="AK54" s="353"/>
      <c r="AL54" s="353"/>
    </row>
    <row r="55" spans="1:38" s="329" customFormat="1" ht="14.5" x14ac:dyDescent="0.35">
      <c r="A55" s="484"/>
      <c r="B55" s="1708"/>
      <c r="C55" s="484"/>
      <c r="D55" s="786"/>
      <c r="E55" s="1650"/>
      <c r="F55" s="1651"/>
      <c r="G55" s="1652"/>
      <c r="H55" s="1344"/>
      <c r="I55" s="1"/>
      <c r="J55" s="751"/>
      <c r="K55" s="751"/>
      <c r="L55" s="751"/>
      <c r="M55" s="8"/>
      <c r="N55" s="751"/>
      <c r="O55" s="751"/>
      <c r="P55" s="751"/>
      <c r="Q55" s="8"/>
      <c r="R55" s="275"/>
      <c r="S55" s="353"/>
      <c r="T55" s="353"/>
      <c r="U55" s="353"/>
      <c r="V55" s="353"/>
      <c r="W55" s="353"/>
      <c r="X55" s="353"/>
      <c r="Y55" s="353"/>
      <c r="Z55" s="353"/>
      <c r="AA55" s="353"/>
      <c r="AB55" s="353"/>
      <c r="AC55" s="353"/>
      <c r="AD55" s="353"/>
      <c r="AE55" s="353"/>
      <c r="AF55" s="353"/>
      <c r="AG55" s="353"/>
      <c r="AH55" s="353"/>
      <c r="AI55" s="353"/>
      <c r="AJ55" s="353"/>
      <c r="AK55" s="353"/>
      <c r="AL55" s="353"/>
    </row>
    <row r="56" spans="1:38" s="329" customFormat="1" ht="14.5" x14ac:dyDescent="0.35">
      <c r="A56" s="484"/>
      <c r="B56" s="1708"/>
      <c r="C56" s="484"/>
      <c r="D56" s="786"/>
      <c r="E56" s="1650"/>
      <c r="F56" s="1651"/>
      <c r="G56" s="1652"/>
      <c r="H56" s="1344"/>
      <c r="I56" s="1"/>
      <c r="J56" s="751"/>
      <c r="K56" s="751"/>
      <c r="L56" s="751"/>
      <c r="M56" s="8"/>
      <c r="N56" s="751"/>
      <c r="O56" s="751"/>
      <c r="P56" s="751"/>
      <c r="Q56" s="8"/>
      <c r="R56" s="275"/>
      <c r="S56" s="353"/>
      <c r="T56" s="353"/>
      <c r="U56" s="353"/>
      <c r="V56" s="353"/>
      <c r="W56" s="353"/>
      <c r="X56" s="353"/>
      <c r="Y56" s="353"/>
      <c r="Z56" s="353"/>
      <c r="AA56" s="353"/>
      <c r="AB56" s="353"/>
      <c r="AC56" s="353"/>
      <c r="AD56" s="353"/>
      <c r="AE56" s="353"/>
      <c r="AF56" s="353"/>
      <c r="AG56" s="353"/>
      <c r="AH56" s="353"/>
      <c r="AI56" s="353"/>
      <c r="AJ56" s="353"/>
      <c r="AK56" s="353"/>
      <c r="AL56" s="353"/>
    </row>
    <row r="57" spans="1:38" s="329" customFormat="1" ht="14.5" x14ac:dyDescent="0.35">
      <c r="A57" s="484"/>
      <c r="B57" s="1708"/>
      <c r="C57" s="484"/>
      <c r="D57" s="786"/>
      <c r="E57" s="1650"/>
      <c r="F57" s="1651"/>
      <c r="G57" s="1652"/>
      <c r="H57" s="1344"/>
      <c r="I57" s="1"/>
      <c r="J57" s="751"/>
      <c r="K57" s="751"/>
      <c r="L57" s="751"/>
      <c r="M57" s="8"/>
      <c r="N57" s="751"/>
      <c r="O57" s="751"/>
      <c r="P57" s="751"/>
      <c r="Q57" s="8"/>
      <c r="R57" s="275"/>
      <c r="S57" s="353"/>
      <c r="T57" s="353"/>
      <c r="U57" s="353"/>
      <c r="V57" s="353"/>
      <c r="W57" s="353"/>
      <c r="X57" s="353"/>
      <c r="Y57" s="353"/>
      <c r="Z57" s="353"/>
      <c r="AA57" s="353"/>
      <c r="AB57" s="353"/>
      <c r="AC57" s="353"/>
      <c r="AD57" s="353"/>
      <c r="AE57" s="353"/>
      <c r="AF57" s="353"/>
      <c r="AG57" s="353"/>
      <c r="AH57" s="353"/>
      <c r="AI57" s="353"/>
      <c r="AJ57" s="353"/>
      <c r="AK57" s="353"/>
      <c r="AL57" s="353"/>
    </row>
    <row r="58" spans="1:38" s="329" customFormat="1" ht="14.5" x14ac:dyDescent="0.35">
      <c r="A58" s="484"/>
      <c r="B58" s="1708"/>
      <c r="C58" s="484"/>
      <c r="D58" s="786"/>
      <c r="E58" s="1653"/>
      <c r="F58" s="1654"/>
      <c r="G58" s="1655"/>
      <c r="H58" s="1344"/>
      <c r="I58" s="1"/>
      <c r="J58" s="751"/>
      <c r="K58" s="751"/>
      <c r="L58" s="751"/>
      <c r="M58" s="8"/>
      <c r="N58" s="751"/>
      <c r="O58" s="751"/>
      <c r="P58" s="751"/>
      <c r="Q58" s="8"/>
      <c r="R58" s="275"/>
      <c r="S58" s="353"/>
      <c r="T58" s="353"/>
      <c r="U58" s="353"/>
      <c r="V58" s="353"/>
      <c r="W58" s="353"/>
      <c r="X58" s="353"/>
      <c r="Y58" s="353"/>
      <c r="Z58" s="353"/>
      <c r="AA58" s="353"/>
      <c r="AB58" s="353"/>
      <c r="AC58" s="353"/>
      <c r="AD58" s="353"/>
      <c r="AE58" s="353"/>
      <c r="AF58" s="353"/>
      <c r="AG58" s="353"/>
      <c r="AH58" s="353"/>
      <c r="AI58" s="353"/>
      <c r="AJ58" s="353"/>
      <c r="AK58" s="353"/>
      <c r="AL58" s="353"/>
    </row>
    <row r="59" spans="1:38" s="329" customFormat="1" ht="14.5" x14ac:dyDescent="0.35">
      <c r="A59" s="484"/>
      <c r="B59" s="1708"/>
      <c r="C59" s="484"/>
      <c r="D59" s="803"/>
      <c r="E59" s="782"/>
      <c r="F59" s="782"/>
      <c r="G59" s="782"/>
      <c r="H59" s="1345"/>
      <c r="I59" s="1"/>
      <c r="J59" s="751"/>
      <c r="K59" s="751"/>
      <c r="L59" s="751"/>
      <c r="M59" s="8"/>
      <c r="N59" s="751"/>
      <c r="O59" s="751"/>
      <c r="P59" s="751"/>
      <c r="Q59" s="8"/>
      <c r="R59" s="275"/>
      <c r="S59" s="353"/>
      <c r="T59" s="353"/>
      <c r="U59" s="353"/>
      <c r="V59" s="353"/>
      <c r="W59" s="353"/>
      <c r="X59" s="353"/>
      <c r="Y59" s="353"/>
      <c r="Z59" s="353"/>
      <c r="AA59" s="353"/>
      <c r="AB59" s="353"/>
      <c r="AC59" s="353"/>
      <c r="AD59" s="353"/>
      <c r="AE59" s="353"/>
      <c r="AF59" s="353"/>
      <c r="AG59" s="353"/>
      <c r="AH59" s="353"/>
      <c r="AI59" s="353"/>
      <c r="AJ59" s="353"/>
      <c r="AK59" s="353"/>
      <c r="AL59" s="353"/>
    </row>
    <row r="60" spans="1:38" ht="15.75" customHeight="1" x14ac:dyDescent="0.35">
      <c r="A60" s="370"/>
      <c r="B60" s="370"/>
      <c r="C60" s="370"/>
      <c r="D60" s="370"/>
      <c r="E60" s="370"/>
      <c r="F60" s="370"/>
      <c r="G60" s="370"/>
      <c r="H60" s="370"/>
      <c r="I60" s="370"/>
      <c r="J60" s="370"/>
      <c r="K60" s="370"/>
      <c r="L60" s="370"/>
      <c r="M60" s="370"/>
      <c r="N60" s="370"/>
      <c r="O60" s="370"/>
      <c r="P60" s="370"/>
      <c r="Q60" s="370"/>
    </row>
    <row r="61" spans="1:38" ht="15.75" customHeight="1" x14ac:dyDescent="0.35">
      <c r="A61" s="370"/>
      <c r="B61" s="370"/>
      <c r="C61" s="370"/>
      <c r="D61" s="370"/>
      <c r="E61" s="370"/>
      <c r="F61" s="370"/>
      <c r="G61" s="370"/>
      <c r="H61" s="370"/>
      <c r="I61" s="370"/>
      <c r="J61" s="370"/>
      <c r="K61" s="370"/>
      <c r="L61" s="370"/>
      <c r="M61" s="370"/>
      <c r="N61" s="370"/>
      <c r="O61" s="370"/>
      <c r="P61" s="370"/>
      <c r="Q61" s="370"/>
    </row>
    <row r="62" spans="1:38" ht="15.75" customHeight="1" x14ac:dyDescent="0.35">
      <c r="A62" s="370"/>
      <c r="B62" s="370"/>
      <c r="C62" s="370"/>
      <c r="D62" s="370"/>
      <c r="E62" s="370"/>
      <c r="F62" s="370"/>
      <c r="G62" s="370"/>
      <c r="H62" s="370"/>
      <c r="I62" s="370"/>
      <c r="J62" s="370"/>
      <c r="K62" s="370"/>
      <c r="L62" s="370"/>
      <c r="M62" s="370"/>
      <c r="N62" s="370"/>
      <c r="O62" s="370"/>
      <c r="P62" s="370"/>
      <c r="Q62" s="370"/>
    </row>
    <row r="63" spans="1:38" ht="15.75" customHeight="1" x14ac:dyDescent="0.35">
      <c r="A63" s="370"/>
      <c r="B63" s="370"/>
      <c r="C63" s="370"/>
      <c r="D63" s="370"/>
      <c r="E63" s="370"/>
      <c r="F63" s="370"/>
      <c r="G63" s="370"/>
      <c r="H63" s="370"/>
      <c r="I63" s="370"/>
      <c r="J63" s="370"/>
      <c r="K63" s="370"/>
      <c r="L63" s="370"/>
      <c r="M63" s="370"/>
      <c r="N63" s="370"/>
      <c r="O63" s="370"/>
      <c r="P63" s="370"/>
      <c r="Q63" s="370"/>
    </row>
    <row r="64" spans="1:38" ht="15.75" customHeight="1" x14ac:dyDescent="0.35">
      <c r="A64" s="370"/>
      <c r="B64" s="370"/>
      <c r="C64" s="370"/>
      <c r="D64" s="370"/>
      <c r="E64" s="370"/>
      <c r="F64" s="370"/>
      <c r="G64" s="370"/>
      <c r="H64" s="370"/>
      <c r="I64" s="370"/>
      <c r="J64" s="370"/>
      <c r="K64" s="370"/>
      <c r="L64" s="370"/>
      <c r="M64" s="370"/>
      <c r="N64" s="370"/>
      <c r="O64" s="370"/>
      <c r="P64" s="370"/>
      <c r="Q64" s="370"/>
    </row>
    <row r="65" ht="15.75" customHeight="1" x14ac:dyDescent="0.35"/>
    <row r="66" ht="15.75" customHeight="1" x14ac:dyDescent="0.35"/>
    <row r="67" ht="15.75" customHeight="1" x14ac:dyDescent="0.35"/>
    <row r="68" ht="15.75" customHeight="1" x14ac:dyDescent="0.35"/>
    <row r="69" ht="15.75" customHeight="1" x14ac:dyDescent="0.35"/>
    <row r="70" ht="15.75" customHeight="1" x14ac:dyDescent="0.35"/>
    <row r="71" ht="15.75" customHeight="1" x14ac:dyDescent="0.35"/>
    <row r="72" ht="15.75" customHeight="1" x14ac:dyDescent="0.35"/>
    <row r="73" ht="15.75" customHeight="1" x14ac:dyDescent="0.35"/>
    <row r="74" ht="15.75" customHeight="1" x14ac:dyDescent="0.35"/>
    <row r="75" ht="15.75" customHeight="1" x14ac:dyDescent="0.35"/>
    <row r="76" ht="15.75" customHeight="1" x14ac:dyDescent="0.35"/>
    <row r="77" ht="15.75" customHeight="1" x14ac:dyDescent="0.35"/>
    <row r="78" ht="15.75" customHeight="1" x14ac:dyDescent="0.35"/>
    <row r="79" ht="15.75" customHeight="1" x14ac:dyDescent="0.35"/>
    <row r="80"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row r="1001" ht="15.75" customHeight="1" x14ac:dyDescent="0.35"/>
    <row r="1002" ht="15.75" customHeight="1" x14ac:dyDescent="0.35"/>
    <row r="1003" ht="15.75" customHeight="1" x14ac:dyDescent="0.35"/>
    <row r="1004" ht="15.75" customHeight="1" x14ac:dyDescent="0.35"/>
    <row r="1005" ht="15.75" customHeight="1" x14ac:dyDescent="0.35"/>
    <row r="1006" ht="15.75" customHeight="1" x14ac:dyDescent="0.35"/>
    <row r="1007" ht="15.75" customHeight="1" x14ac:dyDescent="0.35"/>
    <row r="1008" ht="15.75" customHeight="1" x14ac:dyDescent="0.35"/>
    <row r="1009" ht="15.75" customHeight="1" x14ac:dyDescent="0.35"/>
    <row r="1010" ht="15.75" customHeight="1" x14ac:dyDescent="0.35"/>
    <row r="1011" ht="15.75" customHeight="1" x14ac:dyDescent="0.35"/>
    <row r="1012" ht="15.75" customHeight="1" x14ac:dyDescent="0.35"/>
    <row r="1013" ht="15.75" customHeight="1" x14ac:dyDescent="0.35"/>
    <row r="1014" ht="15.75" customHeight="1" x14ac:dyDescent="0.35"/>
    <row r="1015" ht="15.75" customHeight="1" x14ac:dyDescent="0.35"/>
    <row r="1016" ht="15.75" customHeight="1" x14ac:dyDescent="0.35"/>
  </sheetData>
  <sheetProtection algorithmName="SHA-512" hashValue="wbxB8RpKawS3sbNkqj86fqs+V5DnFXlGcvi9kmbFFp4AEgFhH2bzSJb6awj9sRR+vQcYreHMaA96jrXp/Lf5+w==" saltValue="MnjMGRLCg3KAPgfFiax+RA==" spinCount="100000" sheet="1" objects="1" scenarios="1"/>
  <mergeCells count="12">
    <mergeCell ref="B14:B25"/>
    <mergeCell ref="B27:B41"/>
    <mergeCell ref="D4:H4"/>
    <mergeCell ref="D14:H14"/>
    <mergeCell ref="D27:H27"/>
    <mergeCell ref="B4:B12"/>
    <mergeCell ref="B43:B49"/>
    <mergeCell ref="D43:H43"/>
    <mergeCell ref="E46:F46"/>
    <mergeCell ref="B51:B59"/>
    <mergeCell ref="D51:H51"/>
    <mergeCell ref="E53:G58"/>
  </mergeCells>
  <phoneticPr fontId="39" type="noConversion"/>
  <dataValidations disablePrompts="1" count="3">
    <dataValidation type="list" allowBlank="1" showErrorMessage="1" sqref="F30:F39 F17:F23" xr:uid="{00000000-0002-0000-0A00-000000000000}">
      <formula1>"Yes,No"</formula1>
    </dataValidation>
    <dataValidation type="list" allowBlank="1" showErrorMessage="1" sqref="E46" xr:uid="{989E42BF-0554-4320-BDBE-C360A120176F}">
      <formula1>Feedback_Headers</formula1>
    </dataValidation>
    <dataValidation type="list" allowBlank="1" showErrorMessage="1" sqref="F7:F10" xr:uid="{F9E5A523-3E05-4633-8AAB-326CF1A3502A}">
      <formula1>"Yes,No,NA"</formula1>
    </dataValidation>
  </dataValidations>
  <pageMargins left="0.7" right="0.7" top="0.75" bottom="0.75" header="0" footer="0"/>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outlinePr summaryBelow="0" summaryRight="0"/>
  </sheetPr>
  <dimension ref="A1:Z287"/>
  <sheetViews>
    <sheetView topLeftCell="A46" zoomScaleNormal="100" workbookViewId="0">
      <selection activeCell="H23" sqref="H23"/>
    </sheetView>
  </sheetViews>
  <sheetFormatPr defaultColWidth="14.453125" defaultRowHeight="14.5" x14ac:dyDescent="0.35"/>
  <cols>
    <col min="1" max="2" width="3.54296875" style="379" customWidth="1"/>
    <col min="3" max="3" width="76.6328125" style="1414" bestFit="1" customWidth="1"/>
    <col min="4" max="4" width="10.6328125" style="382" customWidth="1"/>
    <col min="5" max="5" width="1.36328125" style="379" customWidth="1"/>
    <col min="6" max="6" width="13.6328125" style="1403" customWidth="1"/>
    <col min="7" max="7" width="5" style="379" customWidth="1"/>
    <col min="8" max="16384" width="14.453125" style="6"/>
  </cols>
  <sheetData>
    <row r="1" spans="1:26" x14ac:dyDescent="0.35">
      <c r="A1" s="7"/>
      <c r="B1" s="7"/>
      <c r="C1" s="1404"/>
      <c r="D1" s="17"/>
      <c r="E1" s="7"/>
      <c r="F1" s="1393"/>
      <c r="G1" s="7"/>
      <c r="H1" s="7"/>
      <c r="I1" s="7"/>
      <c r="J1" s="7"/>
      <c r="K1" s="7"/>
      <c r="L1" s="7"/>
      <c r="M1" s="7"/>
      <c r="N1" s="7"/>
      <c r="O1" s="7"/>
      <c r="P1" s="7"/>
      <c r="Q1" s="7"/>
      <c r="R1" s="7"/>
      <c r="S1" s="7"/>
      <c r="T1" s="7"/>
      <c r="U1" s="7"/>
      <c r="V1" s="7"/>
      <c r="W1" s="7"/>
      <c r="X1" s="7"/>
      <c r="Y1" s="7"/>
      <c r="Z1" s="7"/>
    </row>
    <row r="2" spans="1:26" ht="29.4" customHeight="1" x14ac:dyDescent="0.35">
      <c r="A2" s="7"/>
      <c r="B2" s="1812" t="s">
        <v>977</v>
      </c>
      <c r="C2" s="1812"/>
      <c r="D2" s="1812"/>
      <c r="E2" s="1812"/>
      <c r="F2" s="1812"/>
      <c r="G2" s="7"/>
      <c r="H2" s="7"/>
      <c r="I2" s="7"/>
      <c r="J2" s="7"/>
      <c r="K2" s="7"/>
      <c r="L2" s="7"/>
      <c r="M2" s="7"/>
      <c r="N2" s="7"/>
      <c r="O2" s="7"/>
      <c r="P2" s="7"/>
      <c r="Q2" s="7"/>
      <c r="R2" s="7"/>
      <c r="S2" s="7"/>
      <c r="T2" s="7"/>
      <c r="U2" s="7"/>
      <c r="V2" s="7"/>
      <c r="W2" s="7"/>
      <c r="X2" s="7"/>
      <c r="Y2" s="7"/>
      <c r="Z2" s="7"/>
    </row>
    <row r="3" spans="1:26" x14ac:dyDescent="0.35">
      <c r="A3" s="7"/>
      <c r="B3" s="7"/>
      <c r="C3" s="1404"/>
      <c r="D3" s="17"/>
      <c r="E3" s="7"/>
      <c r="F3" s="1393"/>
      <c r="G3" s="7"/>
      <c r="H3" s="7"/>
      <c r="I3" s="7"/>
      <c r="J3" s="7"/>
      <c r="K3" s="7"/>
      <c r="L3" s="7"/>
      <c r="M3" s="7"/>
      <c r="N3" s="7"/>
      <c r="O3" s="7"/>
      <c r="P3" s="7"/>
      <c r="Q3" s="7"/>
      <c r="R3" s="7"/>
      <c r="S3" s="7"/>
      <c r="T3" s="7"/>
      <c r="U3" s="7"/>
      <c r="V3" s="7"/>
      <c r="W3" s="7"/>
      <c r="X3" s="7"/>
      <c r="Y3" s="7"/>
      <c r="Z3" s="7"/>
    </row>
    <row r="4" spans="1:26" ht="31" x14ac:dyDescent="0.35">
      <c r="A4" s="7"/>
      <c r="B4" s="384" t="s">
        <v>978</v>
      </c>
      <c r="C4" s="1405"/>
      <c r="D4" s="384"/>
      <c r="E4" s="384"/>
      <c r="F4" s="1394"/>
      <c r="G4" s="7"/>
      <c r="H4" s="7"/>
      <c r="I4" s="7"/>
      <c r="J4" s="7"/>
      <c r="K4" s="7"/>
      <c r="L4" s="7"/>
      <c r="M4" s="7"/>
      <c r="N4" s="7"/>
      <c r="O4" s="7"/>
      <c r="P4" s="7"/>
      <c r="Q4" s="7"/>
      <c r="R4" s="7"/>
      <c r="S4" s="7"/>
      <c r="T4" s="7"/>
      <c r="U4" s="7"/>
      <c r="V4" s="7"/>
      <c r="W4" s="7"/>
      <c r="X4" s="7"/>
      <c r="Y4" s="7"/>
      <c r="Z4" s="7"/>
    </row>
    <row r="5" spans="1:26" x14ac:dyDescent="0.35">
      <c r="A5" s="8"/>
      <c r="B5" s="11"/>
      <c r="C5" s="583" t="e">
        <f ca="1">MID(CELL("filename"),SEARCH("[",CELL("filename"))+1,SEARCH("]",CELL("filename"))-SEARCH("[",CELL("filename"))-1)</f>
        <v>#N/A</v>
      </c>
      <c r="D5" s="12"/>
      <c r="E5" s="11"/>
      <c r="F5" s="345"/>
      <c r="G5" s="7"/>
      <c r="H5" s="7"/>
      <c r="I5" s="7"/>
      <c r="J5" s="7"/>
      <c r="K5" s="7"/>
      <c r="L5" s="7"/>
      <c r="M5" s="7"/>
      <c r="N5" s="7"/>
      <c r="O5" s="7"/>
      <c r="P5" s="7"/>
      <c r="Q5" s="7"/>
      <c r="R5" s="7"/>
      <c r="S5" s="7"/>
      <c r="T5" s="7"/>
      <c r="U5" s="7"/>
      <c r="V5" s="7"/>
      <c r="W5" s="7"/>
      <c r="X5" s="7"/>
      <c r="Y5" s="7"/>
      <c r="Z5" s="7"/>
    </row>
    <row r="6" spans="1:26" s="372" customFormat="1" x14ac:dyDescent="0.35">
      <c r="A6" s="275"/>
      <c r="B6" s="349"/>
      <c r="C6" s="1406"/>
      <c r="D6" s="380"/>
      <c r="E6" s="349"/>
      <c r="F6" s="1395"/>
      <c r="G6" s="370"/>
      <c r="H6" s="370"/>
      <c r="I6" s="370"/>
      <c r="J6" s="370"/>
      <c r="K6" s="370"/>
      <c r="L6" s="370"/>
      <c r="M6" s="370"/>
      <c r="N6" s="370"/>
      <c r="O6" s="370"/>
      <c r="P6" s="370"/>
      <c r="Q6" s="370"/>
      <c r="R6" s="370"/>
      <c r="S6" s="370"/>
      <c r="T6" s="370"/>
      <c r="U6" s="370"/>
      <c r="V6" s="370"/>
      <c r="W6" s="370"/>
      <c r="X6" s="370"/>
      <c r="Y6" s="370"/>
      <c r="Z6" s="370"/>
    </row>
    <row r="7" spans="1:26" s="372" customFormat="1" x14ac:dyDescent="0.35">
      <c r="A7" s="275"/>
      <c r="B7" s="404" t="str">
        <f>'02 Community'!B1</f>
        <v>2 - Design for Equitable Communities</v>
      </c>
      <c r="C7" s="1407"/>
      <c r="D7" s="405"/>
      <c r="E7" s="405"/>
      <c r="F7" s="1396"/>
      <c r="G7" s="370"/>
      <c r="H7" s="370"/>
      <c r="I7" s="370"/>
      <c r="J7" s="370"/>
      <c r="K7" s="370"/>
      <c r="L7" s="370"/>
      <c r="M7" s="370"/>
      <c r="N7" s="370"/>
      <c r="O7" s="370"/>
      <c r="P7" s="370"/>
      <c r="Q7" s="370"/>
      <c r="R7" s="370"/>
      <c r="S7" s="370"/>
      <c r="T7" s="370"/>
      <c r="U7" s="370"/>
      <c r="V7" s="370"/>
      <c r="W7" s="370"/>
      <c r="X7" s="370"/>
      <c r="Y7" s="370"/>
      <c r="Z7" s="370"/>
    </row>
    <row r="8" spans="1:26" s="372" customFormat="1" x14ac:dyDescent="0.35">
      <c r="A8" s="275"/>
      <c r="B8" s="349"/>
      <c r="C8" s="1406"/>
      <c r="D8" s="380"/>
      <c r="E8" s="349"/>
      <c r="F8" s="1395"/>
      <c r="G8" s="370"/>
      <c r="H8" s="370"/>
      <c r="I8" s="370"/>
      <c r="J8" s="370"/>
      <c r="K8" s="370"/>
      <c r="L8" s="370"/>
      <c r="M8" s="370"/>
      <c r="N8" s="370"/>
      <c r="O8" s="370"/>
      <c r="P8" s="370"/>
      <c r="Q8" s="370"/>
      <c r="R8" s="370"/>
      <c r="S8" s="370"/>
      <c r="T8" s="370"/>
      <c r="U8" s="370"/>
      <c r="V8" s="370"/>
      <c r="W8" s="370"/>
      <c r="X8" s="370"/>
      <c r="Y8" s="370"/>
      <c r="Z8" s="370"/>
    </row>
    <row r="9" spans="1:26" s="372" customFormat="1" x14ac:dyDescent="0.35">
      <c r="A9" s="275"/>
      <c r="B9" s="406" t="str">
        <f>'02 Community'!D4</f>
        <v>2.1 - Social Cost of Carbon</v>
      </c>
      <c r="C9" s="1408"/>
      <c r="D9" s="406"/>
      <c r="E9" s="406"/>
      <c r="F9" s="1397"/>
      <c r="G9" s="370"/>
      <c r="H9" s="370"/>
      <c r="I9" s="370"/>
      <c r="J9" s="370"/>
      <c r="K9" s="370"/>
      <c r="L9" s="370"/>
      <c r="M9" s="370"/>
      <c r="N9" s="370"/>
      <c r="O9" s="370"/>
      <c r="P9" s="370"/>
      <c r="Q9" s="370"/>
      <c r="R9" s="370"/>
      <c r="S9" s="370"/>
      <c r="T9" s="370"/>
      <c r="U9" s="370"/>
      <c r="V9" s="370"/>
      <c r="W9" s="370"/>
      <c r="X9" s="370"/>
      <c r="Y9" s="370"/>
      <c r="Z9" s="370"/>
    </row>
    <row r="10" spans="1:26" s="372" customFormat="1" ht="15" x14ac:dyDescent="0.35">
      <c r="A10" s="275"/>
      <c r="B10" s="349"/>
      <c r="C10" s="1406" t="str">
        <f>'02 Community'!E13</f>
        <v>10-yr Social Cost of Carbon</v>
      </c>
      <c r="D10" s="1570">
        <f>'02 Community'!F13</f>
        <v>0</v>
      </c>
      <c r="E10" s="349"/>
      <c r="F10" s="1395" t="s">
        <v>1246</v>
      </c>
      <c r="G10" s="370"/>
      <c r="H10" s="370"/>
      <c r="I10" s="370"/>
      <c r="J10" s="370"/>
      <c r="K10" s="370"/>
      <c r="L10" s="370"/>
      <c r="M10" s="370"/>
      <c r="N10" s="370"/>
      <c r="O10" s="370"/>
      <c r="P10" s="370"/>
      <c r="Q10" s="370"/>
      <c r="R10" s="370"/>
      <c r="S10" s="370"/>
      <c r="T10" s="370"/>
      <c r="U10" s="370"/>
      <c r="V10" s="370"/>
      <c r="W10" s="370"/>
      <c r="X10" s="370"/>
      <c r="Y10" s="370"/>
      <c r="Z10" s="370"/>
    </row>
    <row r="11" spans="1:26" s="372" customFormat="1" x14ac:dyDescent="0.35">
      <c r="A11" s="275"/>
      <c r="B11" s="349"/>
      <c r="C11" s="1406"/>
      <c r="D11" s="380"/>
      <c r="E11" s="349"/>
      <c r="F11" s="1395"/>
      <c r="G11" s="370"/>
      <c r="H11" s="370"/>
      <c r="I11" s="370"/>
      <c r="J11" s="370"/>
      <c r="K11" s="370"/>
      <c r="L11" s="370"/>
      <c r="M11" s="370"/>
      <c r="N11" s="370"/>
      <c r="O11" s="370"/>
      <c r="P11" s="370"/>
      <c r="Q11" s="370"/>
      <c r="R11" s="370"/>
      <c r="S11" s="370"/>
      <c r="T11" s="370"/>
      <c r="U11" s="370"/>
      <c r="V11" s="370"/>
      <c r="W11" s="370"/>
      <c r="X11" s="370"/>
      <c r="Y11" s="370"/>
      <c r="Z11" s="370"/>
    </row>
    <row r="12" spans="1:26" s="372" customFormat="1" x14ac:dyDescent="0.35">
      <c r="A12" s="275"/>
      <c r="B12" s="404" t="str">
        <f>'03 Ecosystems'!B1</f>
        <v>3 - Design for Ecosystems</v>
      </c>
      <c r="C12" s="1407"/>
      <c r="D12" s="405"/>
      <c r="E12" s="405"/>
      <c r="F12" s="1396"/>
      <c r="G12" s="370"/>
      <c r="H12" s="370"/>
      <c r="I12" s="370"/>
      <c r="J12" s="370"/>
      <c r="K12" s="370"/>
      <c r="L12" s="370"/>
      <c r="M12" s="370"/>
      <c r="N12" s="370"/>
      <c r="O12" s="370"/>
      <c r="P12" s="370"/>
      <c r="Q12" s="370"/>
      <c r="R12" s="370"/>
      <c r="S12" s="370"/>
      <c r="T12" s="370"/>
      <c r="U12" s="370"/>
      <c r="V12" s="370"/>
      <c r="W12" s="370"/>
      <c r="X12" s="370"/>
      <c r="Y12" s="370"/>
      <c r="Z12" s="370"/>
    </row>
    <row r="13" spans="1:26" s="372" customFormat="1" x14ac:dyDescent="0.35">
      <c r="A13" s="275"/>
      <c r="B13" s="403"/>
      <c r="C13" s="1409"/>
      <c r="D13" s="403"/>
      <c r="E13" s="403"/>
      <c r="F13" s="1398"/>
      <c r="G13" s="370"/>
      <c r="H13" s="370"/>
      <c r="I13" s="370"/>
      <c r="J13" s="370"/>
      <c r="K13" s="370"/>
      <c r="L13" s="370"/>
      <c r="M13" s="370"/>
      <c r="N13" s="370"/>
      <c r="O13" s="370"/>
      <c r="P13" s="370"/>
      <c r="Q13" s="370"/>
      <c r="R13" s="370"/>
      <c r="S13" s="370"/>
      <c r="T13" s="370"/>
      <c r="U13" s="370"/>
      <c r="V13" s="370"/>
      <c r="W13" s="370"/>
      <c r="X13" s="370"/>
      <c r="Y13" s="370"/>
      <c r="Z13" s="370"/>
    </row>
    <row r="14" spans="1:26" s="301" customFormat="1" ht="13" x14ac:dyDescent="0.35">
      <c r="A14" s="8"/>
      <c r="B14" s="406" t="str">
        <f>TEXT('03 Ecosystems'!D4,1)</f>
        <v>3.1 - Landscaped Area</v>
      </c>
      <c r="C14" s="1408"/>
      <c r="D14" s="406"/>
      <c r="E14" s="406"/>
      <c r="F14" s="1397"/>
      <c r="G14" s="8"/>
      <c r="H14" s="8"/>
      <c r="I14" s="8"/>
      <c r="J14" s="8"/>
      <c r="K14" s="8"/>
      <c r="L14" s="8"/>
      <c r="M14" s="8"/>
      <c r="N14" s="8"/>
      <c r="O14" s="8"/>
      <c r="P14" s="8"/>
      <c r="Q14" s="8"/>
      <c r="R14" s="8"/>
      <c r="S14" s="8"/>
      <c r="T14" s="8"/>
      <c r="U14" s="8"/>
      <c r="V14" s="8"/>
      <c r="W14" s="8"/>
      <c r="X14" s="8"/>
      <c r="Y14" s="8"/>
      <c r="Z14" s="8"/>
    </row>
    <row r="15" spans="1:26" x14ac:dyDescent="0.35">
      <c r="A15" s="8"/>
      <c r="B15" s="349"/>
      <c r="C15" s="1406" t="s">
        <v>922</v>
      </c>
      <c r="D15" s="395">
        <f>Percent_Vegetated_Pre_Development</f>
        <v>0</v>
      </c>
      <c r="E15" s="349"/>
      <c r="F15" s="1395" t="s">
        <v>807</v>
      </c>
      <c r="G15" s="7"/>
      <c r="H15" s="7"/>
      <c r="I15" s="7"/>
      <c r="J15" s="7"/>
      <c r="K15" s="7"/>
      <c r="L15" s="7"/>
      <c r="M15" s="7"/>
      <c r="N15" s="7"/>
      <c r="O15" s="7"/>
      <c r="P15" s="7"/>
      <c r="Q15" s="7"/>
      <c r="R15" s="7"/>
      <c r="S15" s="7"/>
      <c r="T15" s="7"/>
      <c r="U15" s="7"/>
      <c r="V15" s="7"/>
      <c r="W15" s="7"/>
      <c r="X15" s="7"/>
      <c r="Y15" s="7"/>
      <c r="Z15" s="7"/>
    </row>
    <row r="16" spans="1:26" x14ac:dyDescent="0.35">
      <c r="A16" s="8"/>
      <c r="B16" s="349"/>
      <c r="C16" s="1406" t="s">
        <v>923</v>
      </c>
      <c r="D16" s="395">
        <f>Percent_Vegetated_Post_Development</f>
        <v>0</v>
      </c>
      <c r="E16" s="349"/>
      <c r="F16" s="1395" t="s">
        <v>807</v>
      </c>
      <c r="G16" s="7"/>
      <c r="H16" s="7"/>
      <c r="I16" s="7"/>
      <c r="J16" s="7"/>
      <c r="K16" s="7"/>
      <c r="L16" s="7"/>
      <c r="M16" s="7"/>
      <c r="N16" s="7"/>
      <c r="O16" s="7"/>
      <c r="P16" s="7"/>
      <c r="Q16" s="7"/>
      <c r="R16" s="7"/>
      <c r="S16" s="7"/>
      <c r="T16" s="7"/>
      <c r="U16" s="7"/>
      <c r="V16" s="7"/>
      <c r="W16" s="7"/>
      <c r="X16" s="7"/>
      <c r="Y16" s="7"/>
      <c r="Z16" s="7"/>
    </row>
    <row r="17" spans="1:26" x14ac:dyDescent="0.35">
      <c r="A17" s="8"/>
      <c r="B17" s="349"/>
      <c r="C17" s="1406" t="s">
        <v>924</v>
      </c>
      <c r="D17" s="395">
        <f>Percent_Vegetated_Increase</f>
        <v>0</v>
      </c>
      <c r="E17" s="349"/>
      <c r="F17" s="1395" t="s">
        <v>807</v>
      </c>
      <c r="G17" s="7"/>
      <c r="H17" s="7"/>
      <c r="I17" s="7"/>
      <c r="J17" s="7"/>
      <c r="K17" s="7"/>
      <c r="L17" s="7"/>
      <c r="M17" s="7"/>
      <c r="N17" s="7"/>
      <c r="O17" s="7"/>
      <c r="P17" s="7"/>
      <c r="Q17" s="7"/>
      <c r="R17" s="7"/>
      <c r="S17" s="7"/>
      <c r="T17" s="7"/>
      <c r="U17" s="7"/>
      <c r="V17" s="7"/>
      <c r="W17" s="7"/>
      <c r="X17" s="7"/>
      <c r="Y17" s="7"/>
      <c r="Z17" s="7"/>
    </row>
    <row r="18" spans="1:26" x14ac:dyDescent="0.35">
      <c r="A18" s="8"/>
      <c r="B18" s="407" t="str">
        <f>TEXT('03 Ecosystems'!D25,1)</f>
        <v>3.2 - Quality of Vegetation</v>
      </c>
      <c r="C18" s="1410"/>
      <c r="D18" s="407"/>
      <c r="E18" s="407"/>
      <c r="F18" s="1399"/>
      <c r="G18" s="7"/>
      <c r="H18" s="7"/>
      <c r="I18" s="7"/>
      <c r="J18" s="7"/>
      <c r="K18" s="7"/>
      <c r="L18" s="7"/>
      <c r="M18" s="7"/>
      <c r="N18" s="7"/>
      <c r="O18" s="7"/>
      <c r="P18" s="7"/>
      <c r="Q18" s="7"/>
      <c r="R18" s="7"/>
      <c r="S18" s="7"/>
      <c r="T18" s="7"/>
      <c r="U18" s="7"/>
      <c r="V18" s="7"/>
      <c r="W18" s="7"/>
      <c r="X18" s="7"/>
      <c r="Y18" s="7"/>
      <c r="Z18" s="7"/>
    </row>
    <row r="19" spans="1:26" x14ac:dyDescent="0.35">
      <c r="A19" s="275"/>
      <c r="B19" s="349"/>
      <c r="C19" s="1406" t="s">
        <v>1159</v>
      </c>
      <c r="D19" s="395">
        <f>Vegetation_Score_Pre_Developement</f>
        <v>0</v>
      </c>
      <c r="E19" s="349"/>
      <c r="F19" s="1395" t="s">
        <v>807</v>
      </c>
      <c r="G19" s="7"/>
      <c r="H19" s="7"/>
      <c r="I19" s="7"/>
      <c r="J19" s="7"/>
      <c r="K19" s="7"/>
      <c r="L19" s="7"/>
      <c r="M19" s="7"/>
      <c r="N19" s="7"/>
      <c r="O19" s="7"/>
      <c r="P19" s="7"/>
      <c r="Q19" s="7"/>
      <c r="R19" s="7"/>
      <c r="S19" s="7"/>
      <c r="T19" s="7"/>
      <c r="U19" s="7"/>
      <c r="V19" s="7"/>
      <c r="W19" s="7"/>
      <c r="X19" s="7"/>
      <c r="Y19" s="7"/>
      <c r="Z19" s="7"/>
    </row>
    <row r="20" spans="1:26" x14ac:dyDescent="0.35">
      <c r="A20" s="275"/>
      <c r="B20" s="349"/>
      <c r="C20" s="1406" t="s">
        <v>1160</v>
      </c>
      <c r="D20" s="395">
        <f>Vegetation_Score_Post_Developement</f>
        <v>0</v>
      </c>
      <c r="E20" s="349"/>
      <c r="F20" s="1395" t="s">
        <v>807</v>
      </c>
      <c r="G20" s="7"/>
      <c r="H20" s="7"/>
      <c r="I20" s="7"/>
      <c r="J20" s="7"/>
      <c r="K20" s="7"/>
      <c r="L20" s="7"/>
      <c r="M20" s="7"/>
      <c r="N20" s="7"/>
      <c r="O20" s="7"/>
      <c r="P20" s="7"/>
      <c r="Q20" s="7"/>
      <c r="R20" s="7"/>
      <c r="S20" s="7"/>
      <c r="T20" s="7"/>
      <c r="U20" s="7"/>
      <c r="V20" s="7"/>
      <c r="W20" s="7"/>
      <c r="X20" s="7"/>
      <c r="Y20" s="7"/>
      <c r="Z20" s="7"/>
    </row>
    <row r="21" spans="1:26" x14ac:dyDescent="0.35">
      <c r="A21" s="275"/>
      <c r="B21" s="407" t="str">
        <f>TEXT('03 Ecosystems'!D55,1)</f>
        <v>3.3 - Vegetation Carbon Balance</v>
      </c>
      <c r="C21" s="1410"/>
      <c r="D21" s="407"/>
      <c r="E21" s="407"/>
      <c r="F21" s="1399"/>
      <c r="G21" s="7"/>
      <c r="H21" s="7"/>
      <c r="I21" s="7"/>
      <c r="J21" s="7"/>
      <c r="K21" s="7"/>
      <c r="L21" s="7"/>
      <c r="M21" s="7"/>
      <c r="N21" s="7"/>
      <c r="O21" s="7"/>
      <c r="P21" s="7"/>
      <c r="Q21" s="7"/>
      <c r="R21" s="7"/>
      <c r="S21" s="7"/>
      <c r="T21" s="7"/>
      <c r="U21" s="7"/>
      <c r="V21" s="7"/>
      <c r="W21" s="7"/>
      <c r="X21" s="7"/>
      <c r="Y21" s="7"/>
      <c r="Z21" s="7"/>
    </row>
    <row r="22" spans="1:26" x14ac:dyDescent="0.35">
      <c r="A22" s="275"/>
      <c r="B22" s="349"/>
      <c r="C22" s="1406" t="str">
        <f>'03 Ecosystems'!E57</f>
        <v>Was carbon balance of the landscape modeled?</v>
      </c>
      <c r="D22" s="400">
        <f>'03 Ecosystems'!F57</f>
        <v>0</v>
      </c>
      <c r="E22" s="349"/>
      <c r="F22" s="1395" t="s">
        <v>511</v>
      </c>
      <c r="G22" s="7"/>
      <c r="H22" s="7"/>
      <c r="I22" s="7"/>
      <c r="J22" s="7"/>
      <c r="K22" s="7"/>
      <c r="L22" s="7"/>
      <c r="M22" s="7"/>
      <c r="N22" s="7"/>
      <c r="O22" s="7"/>
      <c r="P22" s="7"/>
      <c r="Q22" s="7"/>
      <c r="R22" s="7"/>
      <c r="S22" s="7"/>
      <c r="T22" s="7"/>
      <c r="U22" s="7"/>
      <c r="V22" s="7"/>
      <c r="W22" s="7"/>
      <c r="X22" s="7"/>
      <c r="Y22" s="7"/>
      <c r="Z22" s="7"/>
    </row>
    <row r="23" spans="1:26" ht="15" x14ac:dyDescent="0.35">
      <c r="A23" s="275"/>
      <c r="B23" s="349"/>
      <c r="C23" s="1418" t="str">
        <f>'03 Ecosystems'!E63</f>
        <v>10-yr Landscaping Carbon Intensity</v>
      </c>
      <c r="D23" s="1419">
        <f>'03 Ecosystems'!F63</f>
        <v>0</v>
      </c>
      <c r="E23" s="349"/>
      <c r="F23" s="1395" t="s">
        <v>883</v>
      </c>
      <c r="G23" s="7"/>
      <c r="H23" s="7"/>
      <c r="I23" s="7"/>
      <c r="J23" s="7"/>
      <c r="K23" s="7"/>
      <c r="L23" s="7"/>
      <c r="M23" s="7"/>
      <c r="N23" s="7"/>
      <c r="O23" s="7"/>
      <c r="P23" s="7"/>
      <c r="Q23" s="7"/>
      <c r="R23" s="7"/>
      <c r="S23" s="7"/>
      <c r="T23" s="7"/>
      <c r="U23" s="7"/>
      <c r="V23" s="7"/>
      <c r="W23" s="7"/>
      <c r="X23" s="7"/>
      <c r="Y23" s="7"/>
      <c r="Z23" s="7"/>
    </row>
    <row r="24" spans="1:26" x14ac:dyDescent="0.35">
      <c r="A24" s="275"/>
      <c r="B24" s="349"/>
      <c r="C24" s="1406"/>
      <c r="D24" s="395"/>
      <c r="E24" s="349"/>
      <c r="F24" s="1395"/>
      <c r="G24" s="7"/>
      <c r="H24" s="7"/>
      <c r="I24" s="7"/>
      <c r="J24" s="7"/>
      <c r="K24" s="7"/>
      <c r="L24" s="7"/>
      <c r="M24" s="7"/>
      <c r="N24" s="7"/>
      <c r="O24" s="7"/>
      <c r="P24" s="7"/>
      <c r="Q24" s="7"/>
      <c r="R24" s="7"/>
      <c r="S24" s="7"/>
      <c r="T24" s="7"/>
      <c r="U24" s="7"/>
      <c r="V24" s="7"/>
      <c r="W24" s="7"/>
      <c r="X24" s="7"/>
      <c r="Y24" s="7"/>
      <c r="Z24" s="7"/>
    </row>
    <row r="25" spans="1:26" x14ac:dyDescent="0.35">
      <c r="A25" s="275"/>
      <c r="B25" s="404" t="str">
        <f>'04 Water'!B1</f>
        <v>4 - Design for Water</v>
      </c>
      <c r="C25" s="1407"/>
      <c r="D25" s="405"/>
      <c r="E25" s="405"/>
      <c r="F25" s="1396"/>
      <c r="G25" s="7"/>
      <c r="H25" s="7"/>
      <c r="I25" s="7"/>
      <c r="J25" s="7"/>
      <c r="K25" s="7"/>
      <c r="L25" s="7"/>
      <c r="M25" s="7"/>
      <c r="N25" s="7"/>
      <c r="O25" s="7"/>
      <c r="P25" s="7"/>
      <c r="Q25" s="7"/>
      <c r="R25" s="7"/>
      <c r="S25" s="7"/>
      <c r="T25" s="7"/>
      <c r="U25" s="7"/>
      <c r="V25" s="7"/>
      <c r="W25" s="7"/>
      <c r="X25" s="7"/>
      <c r="Y25" s="7"/>
      <c r="Z25" s="7"/>
    </row>
    <row r="26" spans="1:26" s="371" customFormat="1" x14ac:dyDescent="0.35">
      <c r="A26" s="275"/>
      <c r="B26" s="349"/>
      <c r="C26" s="1406"/>
      <c r="D26" s="381"/>
      <c r="E26" s="349"/>
      <c r="F26" s="1395"/>
      <c r="G26" s="370"/>
      <c r="H26" s="370"/>
      <c r="I26" s="370"/>
      <c r="J26" s="370"/>
      <c r="K26" s="370"/>
      <c r="L26" s="370"/>
      <c r="M26" s="370"/>
      <c r="N26" s="370"/>
      <c r="O26" s="370"/>
      <c r="P26" s="370"/>
      <c r="Q26" s="370"/>
      <c r="R26" s="370"/>
      <c r="S26" s="370"/>
      <c r="T26" s="370"/>
      <c r="U26" s="370"/>
      <c r="V26" s="370"/>
      <c r="W26" s="370"/>
      <c r="X26" s="370"/>
      <c r="Y26" s="370"/>
      <c r="Z26" s="370"/>
    </row>
    <row r="27" spans="1:26" x14ac:dyDescent="0.35">
      <c r="A27" s="275"/>
      <c r="B27" s="407" t="str">
        <f>TEXT('04 Water'!D86,1)</f>
        <v xml:space="preserve">4.6 - Annual Potable Water Use Summary </v>
      </c>
      <c r="C27" s="1410"/>
      <c r="D27" s="407"/>
      <c r="E27" s="407"/>
      <c r="F27" s="1399"/>
      <c r="G27" s="7"/>
      <c r="H27" s="7"/>
      <c r="I27" s="7"/>
      <c r="J27" s="7"/>
      <c r="K27" s="7"/>
      <c r="L27" s="7"/>
      <c r="M27" s="7"/>
      <c r="N27" s="7"/>
      <c r="O27" s="7"/>
      <c r="P27" s="7"/>
      <c r="Q27" s="7"/>
      <c r="R27" s="7"/>
      <c r="S27" s="7"/>
      <c r="T27" s="7"/>
      <c r="U27" s="7"/>
      <c r="V27" s="7"/>
      <c r="W27" s="7"/>
      <c r="X27" s="7"/>
      <c r="Y27" s="7"/>
      <c r="Z27" s="7"/>
    </row>
    <row r="28" spans="1:26" x14ac:dyDescent="0.35">
      <c r="A28" s="275"/>
      <c r="B28" s="396"/>
      <c r="C28" s="1406" t="s">
        <v>925</v>
      </c>
      <c r="D28" s="397">
        <f ca="1">Water_Use_Intensity_Benchmark</f>
        <v>0</v>
      </c>
      <c r="E28" s="349"/>
      <c r="F28" s="1395" t="s">
        <v>16</v>
      </c>
      <c r="G28" s="7"/>
      <c r="H28" s="7"/>
      <c r="I28" s="7"/>
      <c r="J28" s="7"/>
      <c r="K28" s="7"/>
      <c r="L28" s="7"/>
      <c r="M28" s="7"/>
      <c r="N28" s="7"/>
      <c r="O28" s="7"/>
      <c r="P28" s="7"/>
      <c r="Q28" s="7"/>
      <c r="R28" s="7"/>
      <c r="S28" s="7"/>
      <c r="T28" s="7"/>
      <c r="U28" s="7"/>
      <c r="V28" s="7"/>
      <c r="W28" s="7"/>
      <c r="X28" s="7"/>
      <c r="Y28" s="7"/>
      <c r="Z28" s="7"/>
    </row>
    <row r="29" spans="1:26" x14ac:dyDescent="0.35">
      <c r="A29" s="275"/>
      <c r="B29" s="316"/>
      <c r="C29" s="1406" t="s">
        <v>926</v>
      </c>
      <c r="D29" s="389">
        <f>Water_Use_Intensity_Predicted</f>
        <v>0</v>
      </c>
      <c r="E29" s="349"/>
      <c r="F29" s="1395" t="s">
        <v>16</v>
      </c>
      <c r="G29" s="7"/>
      <c r="H29" s="7"/>
      <c r="I29" s="7"/>
      <c r="J29" s="7"/>
      <c r="K29" s="7"/>
      <c r="L29" s="7"/>
      <c r="M29" s="7"/>
      <c r="N29" s="7"/>
      <c r="O29" s="7"/>
      <c r="P29" s="7"/>
      <c r="Q29" s="7"/>
      <c r="R29" s="7"/>
      <c r="S29" s="7"/>
      <c r="T29" s="7"/>
      <c r="U29" s="7"/>
      <c r="V29" s="7"/>
      <c r="W29" s="7"/>
      <c r="X29" s="7"/>
      <c r="Y29" s="7"/>
      <c r="Z29" s="7"/>
    </row>
    <row r="30" spans="1:26" x14ac:dyDescent="0.35">
      <c r="A30" s="275"/>
      <c r="B30" s="316"/>
      <c r="C30" s="1406" t="s">
        <v>932</v>
      </c>
      <c r="D30" s="395">
        <f>Percent_Potable_Water_Reduction_Predicted</f>
        <v>0</v>
      </c>
      <c r="E30" s="349"/>
      <c r="F30" s="1395" t="s">
        <v>807</v>
      </c>
      <c r="G30" s="7"/>
      <c r="H30" s="7"/>
      <c r="I30" s="7"/>
      <c r="J30" s="7"/>
      <c r="K30" s="7"/>
      <c r="L30" s="7"/>
      <c r="M30" s="7"/>
      <c r="N30" s="7"/>
      <c r="O30" s="7"/>
      <c r="P30" s="7"/>
      <c r="Q30" s="7"/>
      <c r="R30" s="7"/>
      <c r="S30" s="7"/>
      <c r="T30" s="7"/>
      <c r="U30" s="7"/>
      <c r="V30" s="7"/>
      <c r="W30" s="7"/>
      <c r="X30" s="7"/>
      <c r="Y30" s="7"/>
      <c r="Z30" s="7"/>
    </row>
    <row r="31" spans="1:26" x14ac:dyDescent="0.35">
      <c r="A31" s="275"/>
      <c r="B31" s="316"/>
      <c r="C31" s="1406" t="s">
        <v>927</v>
      </c>
      <c r="D31" s="395">
        <f>'04 Water'!G83</f>
        <v>0</v>
      </c>
      <c r="E31" s="349"/>
      <c r="F31" s="1395" t="s">
        <v>807</v>
      </c>
      <c r="G31" s="7"/>
      <c r="H31" s="7"/>
      <c r="I31" s="7"/>
      <c r="J31" s="7"/>
      <c r="K31" s="7"/>
      <c r="L31" s="7"/>
      <c r="M31" s="7"/>
      <c r="N31" s="7"/>
      <c r="O31" s="7"/>
      <c r="P31" s="7"/>
      <c r="Q31" s="7"/>
      <c r="R31" s="7"/>
      <c r="S31" s="7"/>
      <c r="T31" s="7"/>
      <c r="U31" s="7"/>
      <c r="V31" s="7"/>
      <c r="W31" s="7"/>
      <c r="X31" s="7"/>
      <c r="Y31" s="7"/>
      <c r="Z31" s="7"/>
    </row>
    <row r="32" spans="1:26" x14ac:dyDescent="0.35">
      <c r="A32" s="275"/>
      <c r="B32" s="316"/>
      <c r="C32" s="1406" t="s">
        <v>307</v>
      </c>
      <c r="D32" s="395">
        <f>Percent_Stormwater_Managed_Onsite</f>
        <v>0</v>
      </c>
      <c r="E32" s="349"/>
      <c r="F32" s="1395" t="s">
        <v>807</v>
      </c>
      <c r="G32" s="7"/>
      <c r="H32" s="7"/>
      <c r="I32" s="7"/>
      <c r="J32" s="7"/>
      <c r="K32" s="7"/>
      <c r="L32" s="7"/>
      <c r="M32" s="7"/>
      <c r="N32" s="7"/>
      <c r="O32" s="7"/>
      <c r="P32" s="7"/>
      <c r="Q32" s="7"/>
      <c r="R32" s="7"/>
      <c r="S32" s="7"/>
      <c r="T32" s="7"/>
      <c r="U32" s="7"/>
      <c r="V32" s="7"/>
      <c r="W32" s="7"/>
      <c r="X32" s="7"/>
      <c r="Y32" s="7"/>
      <c r="Z32" s="7"/>
    </row>
    <row r="33" spans="1:26" x14ac:dyDescent="0.35">
      <c r="A33" s="275"/>
      <c r="B33" s="316"/>
      <c r="C33" s="1406"/>
      <c r="D33" s="395"/>
      <c r="E33" s="349"/>
      <c r="F33" s="1395"/>
      <c r="G33" s="7"/>
      <c r="H33" s="7"/>
      <c r="I33" s="7"/>
      <c r="J33" s="7"/>
      <c r="K33" s="7"/>
      <c r="L33" s="7"/>
      <c r="M33" s="7"/>
      <c r="N33" s="7"/>
      <c r="O33" s="7"/>
      <c r="P33" s="7"/>
      <c r="Q33" s="7"/>
      <c r="R33" s="7"/>
      <c r="S33" s="7"/>
      <c r="T33" s="7"/>
      <c r="U33" s="7"/>
      <c r="V33" s="7"/>
      <c r="W33" s="7"/>
      <c r="X33" s="7"/>
      <c r="Y33" s="7"/>
      <c r="Z33" s="7"/>
    </row>
    <row r="34" spans="1:26" x14ac:dyDescent="0.35">
      <c r="A34" s="275"/>
      <c r="B34" s="404" t="str">
        <f>'05 Economy'!B1</f>
        <v>5 - Design for Economy</v>
      </c>
      <c r="C34" s="1407"/>
      <c r="D34" s="405"/>
      <c r="E34" s="405"/>
      <c r="F34" s="1396"/>
      <c r="G34" s="7"/>
      <c r="H34" s="7"/>
      <c r="I34" s="7"/>
      <c r="J34" s="7"/>
      <c r="K34" s="7"/>
      <c r="L34" s="7"/>
      <c r="M34" s="7"/>
      <c r="N34" s="7"/>
      <c r="O34" s="7"/>
      <c r="P34" s="7"/>
      <c r="Q34" s="7"/>
      <c r="R34" s="7"/>
      <c r="S34" s="7"/>
      <c r="T34" s="7"/>
      <c r="U34" s="7"/>
      <c r="V34" s="7"/>
      <c r="W34" s="7"/>
      <c r="X34" s="7"/>
      <c r="Y34" s="7"/>
      <c r="Z34" s="7"/>
    </row>
    <row r="35" spans="1:26" s="371" customFormat="1" x14ac:dyDescent="0.35">
      <c r="A35" s="275"/>
      <c r="B35" s="316"/>
      <c r="C35" s="1406"/>
      <c r="D35" s="383"/>
      <c r="E35" s="349"/>
      <c r="F35" s="1395"/>
      <c r="G35" s="370"/>
      <c r="H35" s="370"/>
      <c r="I35" s="370"/>
      <c r="J35" s="370"/>
      <c r="K35" s="370"/>
      <c r="L35" s="370"/>
      <c r="M35" s="370"/>
      <c r="N35" s="370"/>
      <c r="O35" s="370"/>
      <c r="P35" s="370"/>
      <c r="Q35" s="370"/>
      <c r="R35" s="370"/>
      <c r="S35" s="370"/>
      <c r="T35" s="370"/>
      <c r="U35" s="370"/>
      <c r="V35" s="370"/>
      <c r="W35" s="370"/>
      <c r="X35" s="370"/>
      <c r="Y35" s="370"/>
      <c r="Z35" s="370"/>
    </row>
    <row r="36" spans="1:26" s="371" customFormat="1" x14ac:dyDescent="0.35">
      <c r="A36" s="275"/>
      <c r="B36" s="407" t="str">
        <f>TEXT('05 Economy'!D4,1)</f>
        <v xml:space="preserve">5.1 - Construction Cost Benchmark </v>
      </c>
      <c r="C36" s="1410"/>
      <c r="D36" s="407"/>
      <c r="E36" s="407"/>
      <c r="F36" s="1399"/>
      <c r="G36" s="370"/>
      <c r="H36" s="370"/>
      <c r="I36" s="370"/>
      <c r="J36" s="370"/>
      <c r="K36" s="370"/>
      <c r="L36" s="370"/>
      <c r="M36" s="370"/>
      <c r="N36" s="370"/>
      <c r="O36" s="370"/>
      <c r="P36" s="370"/>
      <c r="Q36" s="370"/>
      <c r="R36" s="370"/>
      <c r="S36" s="370"/>
      <c r="T36" s="370"/>
      <c r="U36" s="370"/>
      <c r="V36" s="370"/>
      <c r="W36" s="370"/>
      <c r="X36" s="370"/>
      <c r="Y36" s="370"/>
      <c r="Z36" s="370"/>
    </row>
    <row r="37" spans="1:26" s="371" customFormat="1" x14ac:dyDescent="0.35">
      <c r="A37" s="275"/>
      <c r="B37" s="316"/>
      <c r="C37" s="1406" t="s">
        <v>929</v>
      </c>
      <c r="D37" s="398" t="str">
        <f>Construction_Cost_per_SF_Actual</f>
        <v/>
      </c>
      <c r="E37" s="349"/>
      <c r="F37" s="1395" t="s">
        <v>930</v>
      </c>
      <c r="G37" s="370"/>
      <c r="H37" s="370"/>
      <c r="I37" s="370"/>
      <c r="J37" s="370"/>
      <c r="K37" s="370"/>
      <c r="L37" s="370"/>
      <c r="M37" s="370"/>
      <c r="N37" s="370"/>
      <c r="O37" s="370"/>
      <c r="P37" s="370"/>
      <c r="Q37" s="370"/>
      <c r="R37" s="370"/>
      <c r="S37" s="370"/>
      <c r="T37" s="370"/>
      <c r="U37" s="370"/>
      <c r="V37" s="370"/>
      <c r="W37" s="370"/>
      <c r="X37" s="370"/>
      <c r="Y37" s="370"/>
      <c r="Z37" s="370"/>
    </row>
    <row r="38" spans="1:26" s="371" customFormat="1" x14ac:dyDescent="0.35">
      <c r="A38" s="275"/>
      <c r="B38" s="316"/>
      <c r="C38" s="1406"/>
      <c r="D38" s="398"/>
      <c r="E38" s="349"/>
      <c r="F38" s="1395"/>
      <c r="G38" s="370"/>
      <c r="H38" s="370"/>
      <c r="I38" s="370"/>
      <c r="J38" s="370"/>
      <c r="K38" s="370"/>
      <c r="L38" s="370"/>
      <c r="M38" s="370"/>
      <c r="N38" s="370"/>
      <c r="O38" s="370"/>
      <c r="P38" s="370"/>
      <c r="Q38" s="370"/>
      <c r="R38" s="370"/>
      <c r="S38" s="370"/>
      <c r="T38" s="370"/>
      <c r="U38" s="370"/>
      <c r="V38" s="370"/>
      <c r="W38" s="370"/>
      <c r="X38" s="370"/>
      <c r="Y38" s="370"/>
      <c r="Z38" s="370"/>
    </row>
    <row r="39" spans="1:26" s="371" customFormat="1" x14ac:dyDescent="0.35">
      <c r="A39" s="275"/>
      <c r="B39" s="404" t="str">
        <f>'06 Energy'!B1</f>
        <v>6 - Design for Energy</v>
      </c>
      <c r="C39" s="1407"/>
      <c r="D39" s="405"/>
      <c r="E39" s="405"/>
      <c r="F39" s="1396"/>
      <c r="G39" s="370"/>
      <c r="H39" s="370"/>
      <c r="I39" s="370"/>
      <c r="J39" s="370"/>
      <c r="K39" s="370"/>
      <c r="L39" s="370"/>
      <c r="M39" s="370"/>
      <c r="N39" s="370"/>
      <c r="O39" s="370"/>
      <c r="P39" s="370"/>
      <c r="Q39" s="370"/>
      <c r="R39" s="370"/>
      <c r="S39" s="370"/>
      <c r="T39" s="370"/>
      <c r="U39" s="370"/>
      <c r="V39" s="370"/>
      <c r="W39" s="370"/>
      <c r="X39" s="370"/>
      <c r="Y39" s="370"/>
      <c r="Z39" s="370"/>
    </row>
    <row r="40" spans="1:26" s="371" customFormat="1" x14ac:dyDescent="0.35">
      <c r="A40" s="275"/>
      <c r="B40" s="316"/>
      <c r="C40" s="1406"/>
      <c r="D40" s="383"/>
      <c r="E40" s="349"/>
      <c r="F40" s="1395"/>
      <c r="G40" s="370"/>
      <c r="H40" s="370"/>
      <c r="I40" s="370"/>
      <c r="J40" s="370"/>
      <c r="K40" s="370"/>
      <c r="L40" s="370"/>
      <c r="M40" s="370"/>
      <c r="N40" s="370"/>
      <c r="O40" s="370"/>
      <c r="P40" s="370"/>
      <c r="Q40" s="370"/>
      <c r="R40" s="370"/>
      <c r="S40" s="370"/>
      <c r="T40" s="370"/>
      <c r="U40" s="370"/>
      <c r="V40" s="370"/>
      <c r="W40" s="370"/>
      <c r="X40" s="370"/>
      <c r="Y40" s="370"/>
      <c r="Z40" s="370"/>
    </row>
    <row r="41" spans="1:26" x14ac:dyDescent="0.35">
      <c r="A41" s="275"/>
      <c r="B41" s="407" t="str">
        <f>TEXT('06 Energy'!D11,1)</f>
        <v>6.2 - Measured Energy Consumption and/or Generation</v>
      </c>
      <c r="C41" s="1410"/>
      <c r="D41" s="407"/>
      <c r="E41" s="407"/>
      <c r="F41" s="1399"/>
      <c r="G41" s="7"/>
      <c r="H41" s="7"/>
      <c r="I41" s="7"/>
      <c r="J41" s="7"/>
      <c r="K41" s="7"/>
      <c r="L41" s="7"/>
      <c r="M41" s="7"/>
      <c r="N41" s="7"/>
      <c r="O41" s="7"/>
      <c r="P41" s="7"/>
      <c r="Q41" s="7"/>
      <c r="R41" s="7"/>
      <c r="S41" s="7"/>
      <c r="T41" s="7"/>
      <c r="U41" s="7"/>
      <c r="V41" s="7"/>
      <c r="W41" s="7"/>
      <c r="X41" s="7"/>
      <c r="Y41" s="7"/>
      <c r="Z41" s="7"/>
    </row>
    <row r="42" spans="1:26" x14ac:dyDescent="0.35">
      <c r="A42" s="275"/>
      <c r="B42" s="399"/>
      <c r="C42" s="1406" t="s">
        <v>931</v>
      </c>
      <c r="D42" s="380" cm="1">
        <f t="array" ref="D42:E42">'06 Energy'!J13:K13</f>
        <v>0</v>
      </c>
      <c r="E42" s="349">
        <v>0</v>
      </c>
      <c r="F42" s="1395" t="s">
        <v>511</v>
      </c>
      <c r="G42" s="7"/>
      <c r="H42" s="7"/>
      <c r="I42" s="7"/>
      <c r="J42" s="7"/>
      <c r="K42" s="7"/>
      <c r="L42" s="7"/>
      <c r="M42" s="7"/>
      <c r="N42" s="7"/>
      <c r="O42" s="7"/>
      <c r="P42" s="7"/>
      <c r="Q42" s="7"/>
      <c r="R42" s="7"/>
      <c r="S42" s="7"/>
      <c r="T42" s="7"/>
      <c r="U42" s="7"/>
      <c r="V42" s="7"/>
      <c r="W42" s="7"/>
      <c r="X42" s="7"/>
      <c r="Y42" s="7"/>
      <c r="Z42" s="7"/>
    </row>
    <row r="43" spans="1:26" x14ac:dyDescent="0.35">
      <c r="A43" s="275"/>
      <c r="B43" s="380"/>
      <c r="C43" s="1406" t="s">
        <v>933</v>
      </c>
      <c r="D43" s="380" cm="1">
        <f t="array" ref="D43:E43">'06 Energy'!J14:K14</f>
        <v>0</v>
      </c>
      <c r="E43" s="349">
        <v>0</v>
      </c>
      <c r="F43" s="1395" t="s">
        <v>511</v>
      </c>
      <c r="G43" s="7"/>
      <c r="H43" s="7"/>
      <c r="I43" s="7"/>
      <c r="J43" s="7"/>
      <c r="K43" s="7"/>
      <c r="L43" s="7"/>
      <c r="M43" s="7"/>
      <c r="N43" s="7"/>
      <c r="O43" s="7"/>
      <c r="P43" s="7"/>
      <c r="Q43" s="7"/>
      <c r="R43" s="7"/>
      <c r="S43" s="7"/>
      <c r="T43" s="7"/>
      <c r="U43" s="7"/>
      <c r="V43" s="7"/>
      <c r="W43" s="7"/>
      <c r="X43" s="7"/>
      <c r="Y43" s="7"/>
      <c r="Z43" s="7"/>
    </row>
    <row r="44" spans="1:26" x14ac:dyDescent="0.35">
      <c r="A44" s="275"/>
      <c r="B44" s="407" t="str">
        <f>TEXT('06 Energy'!D86,1)</f>
        <v>6.4 - Annual Energy Use and Carbon Summary</v>
      </c>
      <c r="C44" s="1410"/>
      <c r="D44" s="407"/>
      <c r="E44" s="407"/>
      <c r="F44" s="1399"/>
      <c r="G44" s="7"/>
      <c r="H44" s="7"/>
      <c r="I44" s="7"/>
      <c r="J44" s="7"/>
      <c r="K44" s="7"/>
      <c r="L44" s="7"/>
      <c r="M44" s="7"/>
      <c r="N44" s="7"/>
      <c r="O44" s="7"/>
      <c r="P44" s="7"/>
      <c r="Q44" s="7"/>
      <c r="R44" s="7"/>
      <c r="S44" s="7"/>
      <c r="T44" s="7"/>
      <c r="U44" s="7"/>
      <c r="V44" s="7"/>
      <c r="W44" s="7"/>
      <c r="X44" s="7"/>
      <c r="Y44" s="7"/>
      <c r="Z44" s="7"/>
    </row>
    <row r="45" spans="1:26" x14ac:dyDescent="0.35">
      <c r="A45" s="275"/>
      <c r="B45" s="401"/>
      <c r="C45" s="1406" t="s">
        <v>934</v>
      </c>
      <c r="D45" s="383">
        <f>Percent_Reduction_Energy_wRenewables_Measured</f>
        <v>0</v>
      </c>
      <c r="E45" s="349"/>
      <c r="F45" s="1395" t="s">
        <v>807</v>
      </c>
      <c r="G45" s="7"/>
      <c r="H45" s="7"/>
      <c r="I45" s="7"/>
      <c r="J45" s="7"/>
      <c r="K45" s="7"/>
      <c r="L45" s="7"/>
      <c r="M45" s="7"/>
      <c r="N45" s="7"/>
      <c r="O45" s="7"/>
      <c r="P45" s="7"/>
      <c r="Q45" s="7"/>
      <c r="R45" s="7"/>
      <c r="S45" s="7"/>
      <c r="T45" s="7"/>
      <c r="U45" s="7"/>
      <c r="V45" s="7"/>
      <c r="W45" s="7"/>
      <c r="X45" s="7"/>
      <c r="Y45" s="7"/>
      <c r="Z45" s="7"/>
    </row>
    <row r="46" spans="1:26" x14ac:dyDescent="0.35">
      <c r="A46" s="275"/>
      <c r="B46" s="401"/>
      <c r="C46" s="1406" t="s">
        <v>1161</v>
      </c>
      <c r="D46" s="383">
        <f>Percent_Total_Energy_from_On_Site_Measured</f>
        <v>0</v>
      </c>
      <c r="E46" s="349"/>
      <c r="F46" s="1395" t="s">
        <v>807</v>
      </c>
      <c r="G46" s="7"/>
      <c r="H46" s="7"/>
      <c r="I46" s="7"/>
      <c r="J46" s="7"/>
      <c r="K46" s="7"/>
      <c r="L46" s="7"/>
      <c r="M46" s="7"/>
      <c r="N46" s="7"/>
      <c r="O46" s="7"/>
      <c r="P46" s="7"/>
      <c r="Q46" s="7"/>
      <c r="R46" s="7"/>
      <c r="S46" s="7"/>
      <c r="T46" s="7"/>
      <c r="U46" s="7"/>
      <c r="V46" s="7"/>
      <c r="W46" s="7"/>
      <c r="X46" s="7"/>
      <c r="Y46" s="7"/>
      <c r="Z46" s="7"/>
    </row>
    <row r="47" spans="1:26" x14ac:dyDescent="0.35">
      <c r="A47" s="275"/>
      <c r="B47" s="399"/>
      <c r="C47" s="1406" t="s">
        <v>1162</v>
      </c>
      <c r="D47" s="383">
        <f>Percent_Total_Energy_from_Off_Site_Measured</f>
        <v>0</v>
      </c>
      <c r="E47" s="349"/>
      <c r="F47" s="1395" t="s">
        <v>807</v>
      </c>
      <c r="G47" s="7"/>
      <c r="H47" s="7"/>
      <c r="I47" s="7"/>
      <c r="J47" s="7"/>
      <c r="K47" s="7"/>
      <c r="L47" s="7"/>
      <c r="M47" s="7"/>
      <c r="N47" s="7"/>
      <c r="O47" s="7"/>
      <c r="P47" s="7"/>
      <c r="Q47" s="7"/>
      <c r="R47" s="7"/>
      <c r="S47" s="7"/>
      <c r="T47" s="7"/>
      <c r="U47" s="7"/>
      <c r="V47" s="7"/>
      <c r="W47" s="7"/>
      <c r="X47" s="7"/>
      <c r="Y47" s="7"/>
      <c r="Z47" s="7"/>
    </row>
    <row r="48" spans="1:26" x14ac:dyDescent="0.35">
      <c r="A48" s="275"/>
      <c r="B48" s="399"/>
      <c r="C48" s="1406" t="s">
        <v>1261</v>
      </c>
      <c r="D48" s="381" t="str">
        <f ca="1">Operational_Carbon_Percent_Reduction_wRenewables_Measured</f>
        <v/>
      </c>
      <c r="E48" s="349"/>
      <c r="F48" s="1395" t="s">
        <v>807</v>
      </c>
      <c r="G48" s="7"/>
      <c r="H48" s="7"/>
      <c r="I48" s="7"/>
      <c r="J48" s="7"/>
      <c r="K48" s="7"/>
      <c r="L48" s="7"/>
      <c r="M48" s="7"/>
      <c r="N48" s="7"/>
      <c r="O48" s="7"/>
      <c r="P48" s="7"/>
      <c r="Q48" s="7"/>
      <c r="R48" s="7"/>
      <c r="S48" s="7"/>
      <c r="T48" s="7"/>
      <c r="U48" s="7"/>
      <c r="V48" s="7"/>
      <c r="W48" s="7"/>
      <c r="X48" s="7"/>
      <c r="Y48" s="7"/>
      <c r="Z48" s="7"/>
    </row>
    <row r="49" spans="1:26" x14ac:dyDescent="0.35">
      <c r="A49" s="275"/>
      <c r="B49" s="399"/>
      <c r="C49" s="1406"/>
      <c r="D49" s="381"/>
      <c r="E49" s="349"/>
      <c r="F49" s="1395"/>
      <c r="G49" s="7"/>
      <c r="H49" s="7"/>
      <c r="I49" s="7"/>
      <c r="J49" s="7"/>
      <c r="K49" s="7"/>
      <c r="L49" s="7"/>
      <c r="M49" s="7"/>
      <c r="N49" s="7"/>
      <c r="O49" s="7"/>
      <c r="P49" s="7"/>
      <c r="Q49" s="7"/>
      <c r="R49" s="7"/>
      <c r="S49" s="7"/>
      <c r="T49" s="7"/>
      <c r="U49" s="7"/>
      <c r="V49" s="7"/>
      <c r="W49" s="7"/>
      <c r="X49" s="7"/>
      <c r="Y49" s="7"/>
      <c r="Z49" s="7"/>
    </row>
    <row r="50" spans="1:26" ht="15" x14ac:dyDescent="0.35">
      <c r="A50" s="275"/>
      <c r="B50" s="399"/>
      <c r="C50" s="1406" t="s">
        <v>943</v>
      </c>
      <c r="D50" s="400">
        <f>Total_Carbon_10YR</f>
        <v>0</v>
      </c>
      <c r="E50" s="349"/>
      <c r="F50" s="1395" t="s">
        <v>935</v>
      </c>
      <c r="G50" s="7"/>
      <c r="H50" s="7"/>
      <c r="I50" s="7"/>
      <c r="J50" s="7"/>
      <c r="K50" s="7"/>
      <c r="L50" s="7"/>
      <c r="M50" s="7"/>
      <c r="N50" s="7"/>
      <c r="O50" s="7"/>
      <c r="P50" s="7"/>
      <c r="Q50" s="7"/>
      <c r="R50" s="7"/>
      <c r="S50" s="7"/>
      <c r="T50" s="7"/>
      <c r="U50" s="7"/>
      <c r="V50" s="7"/>
      <c r="W50" s="7"/>
      <c r="X50" s="7"/>
      <c r="Y50" s="7"/>
      <c r="Z50" s="7"/>
    </row>
    <row r="51" spans="1:26" x14ac:dyDescent="0.35">
      <c r="A51" s="275"/>
      <c r="B51" s="399"/>
      <c r="C51" s="1406"/>
      <c r="D51" s="400"/>
      <c r="E51" s="349"/>
      <c r="F51" s="1395"/>
      <c r="G51" s="7"/>
      <c r="H51" s="7"/>
      <c r="I51" s="7"/>
      <c r="J51" s="7"/>
      <c r="K51" s="7"/>
      <c r="L51" s="7"/>
      <c r="M51" s="7"/>
      <c r="N51" s="7"/>
      <c r="O51" s="7"/>
      <c r="P51" s="7"/>
      <c r="Q51" s="7"/>
      <c r="R51" s="7"/>
      <c r="S51" s="7"/>
      <c r="T51" s="7"/>
      <c r="U51" s="7"/>
      <c r="V51" s="7"/>
      <c r="W51" s="7"/>
      <c r="X51" s="7"/>
      <c r="Y51" s="7"/>
      <c r="Z51" s="7"/>
    </row>
    <row r="52" spans="1:26" x14ac:dyDescent="0.35">
      <c r="A52" s="275"/>
      <c r="B52" s="399"/>
      <c r="C52" s="1406"/>
      <c r="D52" s="400"/>
      <c r="E52" s="349"/>
      <c r="F52" s="1395"/>
      <c r="G52" s="7"/>
      <c r="H52" s="7"/>
      <c r="I52" s="7"/>
      <c r="J52" s="7"/>
      <c r="K52" s="7"/>
      <c r="L52" s="7"/>
      <c r="M52" s="7"/>
      <c r="N52" s="7"/>
      <c r="O52" s="7"/>
      <c r="P52" s="7"/>
      <c r="Q52" s="7"/>
      <c r="R52" s="7"/>
      <c r="S52" s="7"/>
      <c r="T52" s="7"/>
      <c r="U52" s="7"/>
      <c r="V52" s="7"/>
      <c r="W52" s="7"/>
      <c r="X52" s="7"/>
      <c r="Y52" s="7"/>
      <c r="Z52" s="7"/>
    </row>
    <row r="53" spans="1:26" x14ac:dyDescent="0.35">
      <c r="A53" s="275"/>
      <c r="B53" s="404" t="str">
        <f>'07 Well-Being'!B1</f>
        <v>7 - Design for Well-Being</v>
      </c>
      <c r="C53" s="1407"/>
      <c r="D53" s="405"/>
      <c r="E53" s="405"/>
      <c r="F53" s="1396"/>
      <c r="G53" s="7"/>
      <c r="H53" s="7"/>
      <c r="I53" s="7"/>
      <c r="J53" s="7"/>
      <c r="K53" s="7"/>
      <c r="L53" s="7"/>
      <c r="M53" s="7"/>
      <c r="N53" s="7"/>
      <c r="O53" s="7"/>
      <c r="P53" s="7"/>
      <c r="Q53" s="7"/>
      <c r="R53" s="7"/>
      <c r="S53" s="7"/>
      <c r="T53" s="7"/>
      <c r="U53" s="7"/>
      <c r="V53" s="7"/>
      <c r="W53" s="7"/>
      <c r="X53" s="7"/>
      <c r="Y53" s="7"/>
      <c r="Z53" s="7"/>
    </row>
    <row r="54" spans="1:26" s="371" customFormat="1" x14ac:dyDescent="0.35">
      <c r="A54" s="275"/>
      <c r="B54" s="390"/>
      <c r="C54" s="1411"/>
      <c r="D54" s="392"/>
      <c r="E54" s="391"/>
      <c r="F54" s="1400"/>
      <c r="G54" s="370"/>
      <c r="H54" s="370"/>
      <c r="I54" s="370"/>
      <c r="J54" s="370"/>
      <c r="K54" s="370"/>
      <c r="L54" s="370"/>
      <c r="M54" s="370"/>
      <c r="N54" s="370"/>
      <c r="O54" s="370"/>
      <c r="P54" s="370"/>
      <c r="Q54" s="370"/>
      <c r="R54" s="370"/>
      <c r="S54" s="370"/>
      <c r="T54" s="370"/>
      <c r="U54" s="370"/>
      <c r="V54" s="370"/>
      <c r="W54" s="370"/>
      <c r="X54" s="370"/>
      <c r="Y54" s="370"/>
      <c r="Z54" s="370"/>
    </row>
    <row r="55" spans="1:26" x14ac:dyDescent="0.35">
      <c r="A55" s="275"/>
      <c r="B55" s="407" t="str">
        <f>TEXT('07 Well-Being'!D4,1)</f>
        <v>7.1 - Daylighting and Quality Views</v>
      </c>
      <c r="C55" s="1410"/>
      <c r="D55" s="407"/>
      <c r="E55" s="407"/>
      <c r="F55" s="1399"/>
      <c r="G55" s="7"/>
      <c r="H55" s="7"/>
      <c r="I55" s="7"/>
      <c r="J55" s="7"/>
      <c r="K55" s="7"/>
      <c r="L55" s="7"/>
      <c r="M55" s="7"/>
      <c r="N55" s="7"/>
      <c r="O55" s="7"/>
      <c r="P55" s="7"/>
      <c r="Q55" s="7"/>
      <c r="R55" s="7"/>
      <c r="S55" s="7"/>
      <c r="T55" s="7"/>
      <c r="U55" s="7"/>
      <c r="V55" s="7"/>
      <c r="W55" s="7"/>
      <c r="X55" s="7"/>
      <c r="Y55" s="7"/>
      <c r="Z55" s="7"/>
    </row>
    <row r="56" spans="1:26" x14ac:dyDescent="0.35">
      <c r="A56" s="275"/>
      <c r="B56" s="403"/>
      <c r="C56" s="1420" t="str">
        <f>'07 Well-Being'!E9</f>
        <v>Was daylight modeling performed?</v>
      </c>
      <c r="D56" s="1421">
        <f>'07 Well-Being'!F9</f>
        <v>0</v>
      </c>
      <c r="E56" s="403"/>
      <c r="F56" s="1395" t="s">
        <v>511</v>
      </c>
      <c r="G56" s="7"/>
      <c r="H56" s="7"/>
      <c r="I56" s="7"/>
      <c r="J56" s="7"/>
      <c r="K56" s="7"/>
      <c r="L56" s="7"/>
      <c r="M56" s="7"/>
      <c r="N56" s="7"/>
      <c r="O56" s="7"/>
      <c r="P56" s="7"/>
      <c r="Q56" s="7"/>
      <c r="R56" s="7"/>
      <c r="S56" s="7"/>
      <c r="T56" s="7"/>
      <c r="U56" s="7"/>
      <c r="V56" s="7"/>
      <c r="W56" s="7"/>
      <c r="X56" s="7"/>
      <c r="Y56" s="7"/>
      <c r="Z56" s="7"/>
    </row>
    <row r="57" spans="1:26" x14ac:dyDescent="0.35">
      <c r="A57" s="275"/>
      <c r="B57" s="349"/>
      <c r="C57" s="1406" t="str">
        <f>'07 Well-Being'!E15</f>
        <v>Percent of Regularly Occupied Area that is Daylit</v>
      </c>
      <c r="D57" s="381">
        <f>Percent_Regularly_Occupied_Space_sDA_Compliant</f>
        <v>0</v>
      </c>
      <c r="E57" s="349"/>
      <c r="F57" s="1395" t="s">
        <v>807</v>
      </c>
      <c r="G57" s="7"/>
      <c r="H57" s="7"/>
      <c r="I57" s="7"/>
      <c r="J57" s="7"/>
      <c r="K57" s="7"/>
      <c r="L57" s="7"/>
      <c r="M57" s="7"/>
      <c r="N57" s="7"/>
      <c r="O57" s="7"/>
      <c r="P57" s="7"/>
      <c r="Q57" s="7"/>
      <c r="R57" s="7"/>
      <c r="S57" s="7"/>
      <c r="T57" s="7"/>
      <c r="U57" s="7"/>
      <c r="V57" s="7"/>
      <c r="W57" s="7"/>
      <c r="X57" s="7"/>
      <c r="Y57" s="7"/>
      <c r="Z57" s="7"/>
    </row>
    <row r="58" spans="1:26" x14ac:dyDescent="0.35">
      <c r="A58" s="275"/>
      <c r="B58" s="349"/>
      <c r="C58" s="1406" t="str">
        <f>'07 Well-Being'!E16</f>
        <v>Percent of Regularly Occupied Area that Experiences Glare</v>
      </c>
      <c r="D58" s="381">
        <f>Percent_Regularly_Occupied_Space_ASE_Compliant</f>
        <v>0</v>
      </c>
      <c r="E58" s="349"/>
      <c r="F58" s="1395" t="s">
        <v>807</v>
      </c>
      <c r="G58" s="7"/>
      <c r="H58" s="7"/>
      <c r="I58" s="7"/>
      <c r="J58" s="7"/>
      <c r="K58" s="7"/>
      <c r="L58" s="7"/>
      <c r="M58" s="7"/>
      <c r="N58" s="7"/>
      <c r="O58" s="7"/>
      <c r="P58" s="7"/>
      <c r="Q58" s="7"/>
      <c r="R58" s="7"/>
      <c r="S58" s="7"/>
      <c r="T58" s="7"/>
      <c r="U58" s="7"/>
      <c r="V58" s="7"/>
      <c r="W58" s="7"/>
      <c r="X58" s="7"/>
      <c r="Y58" s="7"/>
      <c r="Z58" s="7"/>
    </row>
    <row r="59" spans="1:26" x14ac:dyDescent="0.35">
      <c r="A59" s="275"/>
      <c r="B59" s="349"/>
      <c r="C59" s="1406" t="str">
        <f>'07 Well-Being'!E20</f>
        <v>Percent of Regularly Occupied Area with Quality Views</v>
      </c>
      <c r="D59" s="381" cm="1">
        <f t="array" ref="D59">Percent_Regularly_Occupied_Space_with_Quality_Views</f>
        <v>0</v>
      </c>
      <c r="E59" s="349"/>
      <c r="F59" s="1395" t="s">
        <v>807</v>
      </c>
      <c r="G59" s="7"/>
      <c r="H59" s="7"/>
      <c r="I59" s="7"/>
      <c r="J59" s="7"/>
      <c r="K59" s="7"/>
      <c r="L59" s="7"/>
      <c r="M59" s="7"/>
      <c r="N59" s="7"/>
      <c r="O59" s="7"/>
      <c r="P59" s="7"/>
      <c r="Q59" s="7"/>
      <c r="R59" s="7"/>
      <c r="S59" s="7"/>
      <c r="T59" s="7"/>
      <c r="U59" s="7"/>
      <c r="V59" s="7"/>
      <c r="W59" s="7"/>
      <c r="X59" s="7"/>
      <c r="Y59" s="7"/>
      <c r="Z59" s="7"/>
    </row>
    <row r="60" spans="1:26" s="371" customFormat="1" x14ac:dyDescent="0.35">
      <c r="A60" s="372"/>
      <c r="B60" s="407" t="str">
        <f>TEXT('07 Well-Being'!D23,1)</f>
        <v>7.2 - Occupant Control</v>
      </c>
      <c r="C60" s="1410"/>
      <c r="D60" s="407"/>
      <c r="E60" s="407"/>
      <c r="F60" s="1399"/>
      <c r="G60" s="370"/>
    </row>
    <row r="61" spans="1:26" x14ac:dyDescent="0.35">
      <c r="A61" s="275"/>
      <c r="B61" s="349"/>
      <c r="C61" s="1406" t="str">
        <f>'07 Well-Being'!E40</f>
        <v>Occupant Control Score</v>
      </c>
      <c r="D61" s="381">
        <f>'07 Well-Being'!F40</f>
        <v>0</v>
      </c>
      <c r="E61" s="349"/>
      <c r="F61" s="1395" t="s">
        <v>807</v>
      </c>
      <c r="G61" s="7"/>
      <c r="H61" s="7"/>
      <c r="I61" s="7"/>
      <c r="J61" s="7"/>
      <c r="K61" s="7"/>
      <c r="L61" s="7"/>
      <c r="M61" s="7"/>
      <c r="N61" s="7"/>
      <c r="O61" s="7"/>
      <c r="P61" s="7"/>
      <c r="Q61" s="7"/>
      <c r="R61" s="7"/>
      <c r="S61" s="7"/>
      <c r="T61" s="7"/>
      <c r="U61" s="7"/>
      <c r="V61" s="7"/>
      <c r="W61" s="7"/>
      <c r="X61" s="7"/>
      <c r="Y61" s="7"/>
      <c r="Z61" s="7"/>
    </row>
    <row r="62" spans="1:26" x14ac:dyDescent="0.35">
      <c r="A62" s="275"/>
      <c r="B62" s="407" t="str">
        <f>TEXT('07 Well-Being'!D43,1)</f>
        <v>7.3 - Indoor Air Quality Management</v>
      </c>
      <c r="C62" s="1410"/>
      <c r="D62" s="407"/>
      <c r="E62" s="407"/>
      <c r="F62" s="1399"/>
      <c r="G62" s="7"/>
      <c r="H62" s="7"/>
      <c r="I62" s="7"/>
      <c r="J62" s="7"/>
      <c r="K62" s="7"/>
      <c r="L62" s="7"/>
      <c r="M62" s="7"/>
      <c r="N62" s="7"/>
      <c r="O62" s="7"/>
      <c r="P62" s="7"/>
      <c r="Q62" s="7"/>
      <c r="R62" s="7"/>
      <c r="S62" s="7"/>
      <c r="T62" s="7"/>
      <c r="U62" s="7"/>
      <c r="V62" s="7"/>
      <c r="W62" s="7"/>
      <c r="X62" s="7"/>
      <c r="Y62" s="7"/>
      <c r="Z62" s="7"/>
    </row>
    <row r="63" spans="1:26" x14ac:dyDescent="0.35">
      <c r="A63" s="275"/>
      <c r="B63" s="349"/>
      <c r="C63" s="1406" t="s">
        <v>937</v>
      </c>
      <c r="D63" s="380">
        <f>'07 Well-Being'!F62</f>
        <v>0</v>
      </c>
      <c r="E63" s="349"/>
      <c r="F63" s="1395" t="s">
        <v>392</v>
      </c>
      <c r="G63" s="7"/>
      <c r="H63" s="7"/>
      <c r="I63" s="7"/>
      <c r="J63" s="7"/>
      <c r="K63" s="7"/>
      <c r="L63" s="7"/>
      <c r="M63" s="7"/>
      <c r="N63" s="7"/>
      <c r="O63" s="7"/>
      <c r="P63" s="7"/>
      <c r="Q63" s="7"/>
      <c r="R63" s="7"/>
      <c r="S63" s="7"/>
      <c r="T63" s="7"/>
      <c r="U63" s="7"/>
      <c r="V63" s="7"/>
      <c r="W63" s="7"/>
      <c r="X63" s="7"/>
      <c r="Y63" s="7"/>
      <c r="Z63" s="7"/>
    </row>
    <row r="64" spans="1:26" x14ac:dyDescent="0.35">
      <c r="A64" s="275"/>
      <c r="B64" s="349"/>
      <c r="C64" s="1406" t="s">
        <v>940</v>
      </c>
      <c r="D64" s="380">
        <f>'07 Well-Being'!F64</f>
        <v>0</v>
      </c>
      <c r="E64" s="349"/>
      <c r="F64" s="1395"/>
      <c r="G64" s="7"/>
      <c r="H64" s="7"/>
      <c r="I64" s="7"/>
      <c r="J64" s="7"/>
      <c r="K64" s="7"/>
      <c r="L64" s="7"/>
      <c r="M64" s="7"/>
      <c r="N64" s="7"/>
      <c r="O64" s="7"/>
      <c r="P64" s="7"/>
      <c r="Q64" s="7"/>
      <c r="R64" s="7"/>
      <c r="S64" s="7"/>
      <c r="T64" s="7"/>
      <c r="U64" s="7"/>
      <c r="V64" s="7"/>
      <c r="W64" s="7"/>
      <c r="X64" s="7"/>
      <c r="Y64" s="7"/>
      <c r="Z64" s="7"/>
    </row>
    <row r="65" spans="1:26" x14ac:dyDescent="0.35">
      <c r="A65" s="275"/>
      <c r="B65" s="349"/>
      <c r="C65" s="1406"/>
      <c r="D65" s="380"/>
      <c r="E65" s="349"/>
      <c r="F65" s="1395"/>
      <c r="G65" s="7"/>
      <c r="H65" s="7"/>
      <c r="I65" s="7"/>
      <c r="J65" s="7"/>
      <c r="K65" s="7"/>
      <c r="L65" s="7"/>
      <c r="M65" s="7"/>
      <c r="N65" s="7"/>
      <c r="O65" s="7"/>
      <c r="P65" s="7"/>
      <c r="Q65" s="7"/>
      <c r="R65" s="7"/>
      <c r="S65" s="7"/>
      <c r="T65" s="7"/>
      <c r="U65" s="7"/>
      <c r="V65" s="7"/>
      <c r="W65" s="7"/>
      <c r="X65" s="7"/>
      <c r="Y65" s="7"/>
      <c r="Z65" s="7"/>
    </row>
    <row r="66" spans="1:26" x14ac:dyDescent="0.35">
      <c r="A66" s="275"/>
      <c r="B66" s="404" t="str">
        <f>'08 Resources'!B1</f>
        <v>8 - Design for Resources</v>
      </c>
      <c r="C66" s="1407"/>
      <c r="D66" s="405"/>
      <c r="E66" s="405"/>
      <c r="F66" s="1396"/>
      <c r="G66" s="7"/>
      <c r="H66" s="7"/>
      <c r="I66" s="7"/>
      <c r="J66" s="7"/>
      <c r="K66" s="7"/>
      <c r="L66" s="7"/>
      <c r="M66" s="7"/>
      <c r="N66" s="7"/>
      <c r="O66" s="7"/>
      <c r="P66" s="7"/>
      <c r="Q66" s="7"/>
      <c r="R66" s="7"/>
      <c r="S66" s="7"/>
      <c r="T66" s="7"/>
      <c r="U66" s="7"/>
      <c r="V66" s="7"/>
      <c r="W66" s="7"/>
      <c r="X66" s="7"/>
      <c r="Y66" s="7"/>
      <c r="Z66" s="7"/>
    </row>
    <row r="67" spans="1:26" s="371" customFormat="1" x14ac:dyDescent="0.35">
      <c r="A67" s="275"/>
      <c r="B67" s="349"/>
      <c r="C67" s="1406"/>
      <c r="D67" s="380"/>
      <c r="E67" s="349"/>
      <c r="F67" s="1395"/>
      <c r="G67" s="7"/>
      <c r="H67" s="370"/>
      <c r="I67" s="370"/>
      <c r="J67" s="370"/>
      <c r="K67" s="370"/>
      <c r="L67" s="370"/>
      <c r="M67" s="370"/>
      <c r="N67" s="370"/>
      <c r="O67" s="370"/>
      <c r="P67" s="370"/>
      <c r="Q67" s="370"/>
      <c r="R67" s="370"/>
      <c r="S67" s="370"/>
      <c r="T67" s="370"/>
      <c r="U67" s="370"/>
      <c r="V67" s="370"/>
      <c r="W67" s="370"/>
      <c r="X67" s="370"/>
      <c r="Y67" s="370"/>
      <c r="Z67" s="370"/>
    </row>
    <row r="68" spans="1:26" x14ac:dyDescent="0.35">
      <c r="A68" s="275"/>
      <c r="B68" s="407" t="str">
        <f>'08 Resources'!D12</f>
        <v>8.2 - Building Reuse | Life Span</v>
      </c>
      <c r="C68" s="1410"/>
      <c r="D68" s="407"/>
      <c r="E68" s="407"/>
      <c r="F68" s="1399"/>
      <c r="G68" s="7"/>
      <c r="H68" s="7"/>
      <c r="I68" s="7"/>
      <c r="J68" s="7"/>
      <c r="K68" s="7"/>
      <c r="L68" s="7"/>
      <c r="M68" s="7"/>
      <c r="N68" s="7"/>
      <c r="O68" s="7"/>
      <c r="P68" s="7"/>
      <c r="Q68" s="7"/>
      <c r="R68" s="7"/>
      <c r="S68" s="7"/>
      <c r="T68" s="7"/>
      <c r="U68" s="7"/>
      <c r="V68" s="7"/>
      <c r="W68" s="7"/>
      <c r="X68" s="7"/>
      <c r="Y68" s="7"/>
      <c r="Z68" s="7"/>
    </row>
    <row r="69" spans="1:26" x14ac:dyDescent="0.35">
      <c r="A69" s="275"/>
      <c r="B69" s="349"/>
      <c r="C69" s="1406" t="str">
        <f>'08 Resources'!E15</f>
        <v>Percentage of Floor Area that was Reused or Adapted</v>
      </c>
      <c r="D69" s="381">
        <f>Percent_Building_Area_Reused</f>
        <v>0</v>
      </c>
      <c r="E69" s="349"/>
      <c r="F69" s="1395" t="s">
        <v>807</v>
      </c>
      <c r="G69" s="7"/>
      <c r="H69" s="7"/>
      <c r="I69" s="7"/>
      <c r="J69" s="7"/>
      <c r="K69" s="7"/>
      <c r="L69" s="7"/>
      <c r="M69" s="7"/>
      <c r="N69" s="7"/>
      <c r="O69" s="7"/>
      <c r="P69" s="7"/>
      <c r="Q69" s="7"/>
      <c r="R69" s="7"/>
      <c r="S69" s="7"/>
      <c r="T69" s="7"/>
      <c r="U69" s="7"/>
      <c r="V69" s="7"/>
      <c r="W69" s="7"/>
      <c r="X69" s="7"/>
      <c r="Y69" s="7"/>
      <c r="Z69" s="7"/>
    </row>
    <row r="70" spans="1:26" x14ac:dyDescent="0.35">
      <c r="A70" s="275"/>
      <c r="B70" s="407" t="str">
        <f>'08 Resources'!D21</f>
        <v>8.3 - Embodied Carbon | Tools and Scope</v>
      </c>
      <c r="C70" s="1410"/>
      <c r="D70" s="407"/>
      <c r="E70" s="407"/>
      <c r="F70" s="1399"/>
      <c r="G70" s="7"/>
      <c r="H70" s="7"/>
      <c r="I70" s="7"/>
      <c r="J70" s="7"/>
      <c r="K70" s="7"/>
      <c r="L70" s="7"/>
      <c r="M70" s="7"/>
      <c r="N70" s="7"/>
      <c r="O70" s="7"/>
      <c r="P70" s="7"/>
      <c r="Q70" s="7"/>
      <c r="R70" s="7"/>
      <c r="S70" s="7"/>
      <c r="T70" s="7"/>
      <c r="U70" s="7"/>
      <c r="V70" s="7"/>
      <c r="W70" s="7"/>
      <c r="X70" s="7"/>
      <c r="Y70" s="7"/>
      <c r="Z70" s="7"/>
    </row>
    <row r="71" spans="1:26" x14ac:dyDescent="0.35">
      <c r="A71" s="275"/>
      <c r="B71" s="316"/>
      <c r="C71" s="1406" t="s">
        <v>409</v>
      </c>
      <c r="D71" s="380" t="str">
        <f>IF(Embodied_Carbon_Total_Proposed=0,"No","Yes")</f>
        <v>No</v>
      </c>
      <c r="E71" s="349"/>
      <c r="F71" s="1395" t="s">
        <v>511</v>
      </c>
      <c r="G71" s="7"/>
      <c r="H71" s="7"/>
      <c r="I71" s="7"/>
      <c r="J71" s="7"/>
      <c r="K71" s="7"/>
      <c r="L71" s="7"/>
      <c r="M71" s="7"/>
      <c r="N71" s="7"/>
      <c r="O71" s="7"/>
      <c r="P71" s="7"/>
      <c r="Q71" s="7"/>
      <c r="R71" s="7"/>
      <c r="S71" s="7"/>
      <c r="T71" s="7"/>
      <c r="U71" s="7"/>
      <c r="V71" s="7"/>
      <c r="W71" s="7"/>
      <c r="X71" s="7"/>
      <c r="Y71" s="7"/>
      <c r="Z71" s="7"/>
    </row>
    <row r="72" spans="1:26" x14ac:dyDescent="0.35">
      <c r="A72" s="275"/>
      <c r="B72" s="407" t="str">
        <f>'08 Resources'!D47</f>
        <v>8.4 - Embodied Carbon | Calculations and Strategies</v>
      </c>
      <c r="C72" s="1410"/>
      <c r="D72" s="407"/>
      <c r="E72" s="407"/>
      <c r="F72" s="1399"/>
      <c r="G72" s="7"/>
      <c r="H72" s="7"/>
      <c r="I72" s="7"/>
      <c r="J72" s="7"/>
      <c r="K72" s="7"/>
      <c r="L72" s="7"/>
      <c r="M72" s="7"/>
      <c r="N72" s="7"/>
      <c r="O72" s="7"/>
      <c r="P72" s="7"/>
      <c r="Q72" s="7"/>
      <c r="R72" s="7"/>
      <c r="S72" s="7"/>
      <c r="T72" s="7"/>
      <c r="U72" s="7"/>
      <c r="V72" s="7"/>
      <c r="W72" s="7"/>
      <c r="X72" s="7"/>
      <c r="Y72" s="7"/>
      <c r="Z72" s="7"/>
    </row>
    <row r="73" spans="1:26" ht="15" x14ac:dyDescent="0.35">
      <c r="A73" s="275"/>
      <c r="B73" s="349"/>
      <c r="C73" s="1406" t="s">
        <v>941</v>
      </c>
      <c r="D73" s="389" cm="1">
        <f t="array" ref="D73">Embodied_Carbon_Intensity_Proposed</f>
        <v>0</v>
      </c>
      <c r="E73" s="349"/>
      <c r="F73" s="1395" t="s">
        <v>510</v>
      </c>
      <c r="G73" s="7"/>
      <c r="H73" s="7"/>
      <c r="I73" s="7"/>
      <c r="J73" s="7"/>
      <c r="K73" s="7"/>
      <c r="L73" s="7"/>
      <c r="M73" s="7"/>
      <c r="N73" s="7"/>
      <c r="O73" s="7"/>
      <c r="P73" s="7"/>
      <c r="Q73" s="7"/>
      <c r="R73" s="7"/>
      <c r="S73" s="7"/>
      <c r="T73" s="7"/>
      <c r="U73" s="7"/>
      <c r="V73" s="7"/>
      <c r="W73" s="7"/>
      <c r="X73" s="7"/>
      <c r="Y73" s="7"/>
      <c r="Z73" s="7"/>
    </row>
    <row r="74" spans="1:26" x14ac:dyDescent="0.35">
      <c r="A74" s="275"/>
      <c r="B74" s="407" t="str">
        <f>'08 Resources'!D82</f>
        <v>8.7 - Recycled | Regional | Reused | Third-Party Certification Materials</v>
      </c>
      <c r="C74" s="1410"/>
      <c r="D74" s="407"/>
      <c r="E74" s="407"/>
      <c r="F74" s="1399"/>
      <c r="G74" s="7"/>
      <c r="H74" s="7"/>
      <c r="I74" s="7"/>
      <c r="J74" s="7"/>
      <c r="K74" s="7"/>
      <c r="L74" s="7"/>
      <c r="M74" s="7"/>
      <c r="N74" s="7"/>
      <c r="O74" s="7"/>
      <c r="P74" s="7"/>
      <c r="Q74" s="7"/>
      <c r="R74" s="7"/>
      <c r="S74" s="7"/>
      <c r="T74" s="7"/>
      <c r="U74" s="7"/>
      <c r="V74" s="7"/>
      <c r="W74" s="7"/>
      <c r="X74" s="7"/>
      <c r="Y74" s="7"/>
      <c r="Z74" s="7"/>
    </row>
    <row r="75" spans="1:26" x14ac:dyDescent="0.35">
      <c r="A75" s="275"/>
      <c r="B75" s="316"/>
      <c r="C75" s="1406" t="s">
        <v>942</v>
      </c>
      <c r="D75" s="381">
        <f>Percent_Wood_FSC</f>
        <v>0</v>
      </c>
      <c r="E75" s="349"/>
      <c r="F75" s="1395" t="s">
        <v>807</v>
      </c>
      <c r="G75" s="7"/>
      <c r="H75" s="7"/>
      <c r="I75" s="7"/>
      <c r="J75" s="7"/>
      <c r="K75" s="7"/>
      <c r="L75" s="7"/>
      <c r="M75" s="7"/>
      <c r="N75" s="7"/>
      <c r="O75" s="7"/>
      <c r="P75" s="7"/>
      <c r="Q75" s="7"/>
      <c r="R75" s="7"/>
      <c r="S75" s="7"/>
      <c r="T75" s="7"/>
      <c r="U75" s="7"/>
      <c r="V75" s="7"/>
      <c r="W75" s="7"/>
      <c r="X75" s="7"/>
      <c r="Y75" s="7"/>
      <c r="Z75" s="7"/>
    </row>
    <row r="76" spans="1:26" x14ac:dyDescent="0.35">
      <c r="A76" s="275"/>
      <c r="B76" s="316"/>
      <c r="C76" s="1406"/>
      <c r="D76" s="381"/>
      <c r="E76" s="349"/>
      <c r="F76" s="1395"/>
      <c r="G76" s="7"/>
      <c r="H76" s="7"/>
      <c r="I76" s="7"/>
      <c r="J76" s="7"/>
      <c r="K76" s="7"/>
      <c r="L76" s="7"/>
      <c r="M76" s="7"/>
      <c r="N76" s="7"/>
      <c r="O76" s="7"/>
      <c r="P76" s="7"/>
      <c r="Q76" s="7"/>
      <c r="R76" s="7"/>
      <c r="S76" s="7"/>
      <c r="T76" s="7"/>
      <c r="U76" s="7"/>
      <c r="V76" s="7"/>
      <c r="W76" s="7"/>
      <c r="X76" s="7"/>
      <c r="Y76" s="7"/>
      <c r="Z76" s="7"/>
    </row>
    <row r="77" spans="1:26" x14ac:dyDescent="0.35">
      <c r="A77" s="275"/>
      <c r="B77" s="404" t="str">
        <f>'09 Change'!B1</f>
        <v>9 - Design for Change</v>
      </c>
      <c r="C77" s="1407"/>
      <c r="D77" s="405"/>
      <c r="E77" s="405"/>
      <c r="F77" s="1396"/>
      <c r="G77" s="7"/>
      <c r="H77" s="7"/>
      <c r="I77" s="7"/>
      <c r="J77" s="7"/>
      <c r="K77" s="7"/>
      <c r="L77" s="7"/>
      <c r="M77" s="7"/>
      <c r="N77" s="7"/>
      <c r="O77" s="7"/>
      <c r="P77" s="7"/>
      <c r="Q77" s="7"/>
      <c r="R77" s="7"/>
      <c r="S77" s="7"/>
      <c r="T77" s="7"/>
      <c r="U77" s="7"/>
      <c r="V77" s="7"/>
      <c r="W77" s="7"/>
      <c r="X77" s="7"/>
      <c r="Y77" s="7"/>
      <c r="Z77" s="7"/>
    </row>
    <row r="78" spans="1:26" x14ac:dyDescent="0.35">
      <c r="A78" s="275"/>
      <c r="B78" s="275"/>
      <c r="C78" s="1412"/>
      <c r="D78" s="275"/>
      <c r="E78" s="275"/>
      <c r="F78" s="1401"/>
      <c r="G78" s="8"/>
      <c r="H78" s="7"/>
      <c r="I78" s="7"/>
      <c r="J78" s="7"/>
      <c r="K78" s="7"/>
      <c r="L78" s="7"/>
      <c r="M78" s="7"/>
      <c r="N78" s="7"/>
      <c r="O78" s="7"/>
      <c r="P78" s="7"/>
      <c r="Q78" s="7"/>
      <c r="R78" s="7"/>
      <c r="S78" s="7"/>
      <c r="T78" s="7"/>
      <c r="U78" s="7"/>
      <c r="V78" s="7"/>
      <c r="W78" s="7"/>
      <c r="X78" s="7"/>
      <c r="Y78" s="7"/>
      <c r="Z78" s="7"/>
    </row>
    <row r="79" spans="1:26" x14ac:dyDescent="0.35">
      <c r="A79" s="275"/>
      <c r="B79" s="407" t="str">
        <f>'09 Change'!D4</f>
        <v>9.1 - Local Hazard Research</v>
      </c>
      <c r="C79" s="1410"/>
      <c r="D79" s="407"/>
      <c r="E79" s="407"/>
      <c r="F79" s="1399"/>
      <c r="G79" s="7"/>
      <c r="H79" s="7"/>
      <c r="I79" s="7"/>
      <c r="J79" s="7"/>
      <c r="K79" s="7"/>
      <c r="L79" s="7"/>
      <c r="M79" s="7"/>
      <c r="N79" s="7"/>
      <c r="O79" s="7"/>
      <c r="P79" s="7"/>
      <c r="Q79" s="7"/>
      <c r="R79" s="7"/>
      <c r="S79" s="7"/>
      <c r="T79" s="7"/>
      <c r="U79" s="7"/>
      <c r="V79" s="7"/>
      <c r="W79" s="7"/>
      <c r="X79" s="7"/>
      <c r="Y79" s="7"/>
      <c r="Z79" s="7"/>
    </row>
    <row r="80" spans="1:26" x14ac:dyDescent="0.35">
      <c r="A80" s="275"/>
      <c r="B80" s="316"/>
      <c r="C80" s="1406" t="s">
        <v>465</v>
      </c>
      <c r="D80" s="383">
        <f>Hazard_Research_Score</f>
        <v>0</v>
      </c>
      <c r="E80" s="349"/>
      <c r="F80" s="1395" t="s">
        <v>807</v>
      </c>
      <c r="G80" s="7"/>
      <c r="H80" s="7"/>
      <c r="I80" s="7"/>
      <c r="J80" s="7"/>
      <c r="K80" s="7"/>
      <c r="L80" s="7"/>
      <c r="M80" s="7"/>
      <c r="N80" s="7"/>
      <c r="O80" s="7"/>
      <c r="P80" s="7"/>
      <c r="Q80" s="7"/>
      <c r="R80" s="7"/>
      <c r="S80" s="7"/>
      <c r="T80" s="7"/>
      <c r="U80" s="7"/>
      <c r="V80" s="7"/>
      <c r="W80" s="7"/>
      <c r="X80" s="7"/>
      <c r="Y80" s="7"/>
      <c r="Z80" s="7"/>
    </row>
    <row r="81" spans="1:26" x14ac:dyDescent="0.35">
      <c r="A81" s="275"/>
      <c r="B81" s="407" t="str">
        <f>'09 Change'!D21</f>
        <v>9.2 - Resiliency</v>
      </c>
      <c r="C81" s="1410"/>
      <c r="D81" s="407"/>
      <c r="E81" s="407"/>
      <c r="F81" s="1399"/>
      <c r="G81" s="7"/>
      <c r="H81" s="7"/>
      <c r="I81" s="7"/>
      <c r="J81" s="7"/>
      <c r="K81" s="7"/>
      <c r="L81" s="7"/>
      <c r="M81" s="7"/>
      <c r="N81" s="7"/>
      <c r="O81" s="7"/>
      <c r="P81" s="7"/>
      <c r="Q81" s="7"/>
      <c r="R81" s="7"/>
      <c r="S81" s="7"/>
      <c r="T81" s="7"/>
      <c r="U81" s="7"/>
      <c r="V81" s="7"/>
      <c r="W81" s="7"/>
      <c r="X81" s="7"/>
      <c r="Y81" s="7"/>
      <c r="Z81" s="7"/>
    </row>
    <row r="82" spans="1:26" x14ac:dyDescent="0.35">
      <c r="A82" s="275"/>
      <c r="B82" s="316"/>
      <c r="C82" s="1406" t="s">
        <v>918</v>
      </c>
      <c r="D82" s="383">
        <f>Resiliency_Score</f>
        <v>0</v>
      </c>
      <c r="E82" s="349"/>
      <c r="F82" s="1395" t="s">
        <v>807</v>
      </c>
      <c r="G82" s="7"/>
      <c r="H82" s="7"/>
      <c r="I82" s="7"/>
      <c r="J82" s="7"/>
      <c r="K82" s="7"/>
      <c r="L82" s="7"/>
      <c r="M82" s="7"/>
      <c r="N82" s="7"/>
      <c r="O82" s="7"/>
      <c r="P82" s="7"/>
      <c r="Q82" s="7"/>
      <c r="R82" s="7"/>
      <c r="S82" s="7"/>
      <c r="T82" s="7"/>
      <c r="U82" s="7"/>
      <c r="V82" s="7"/>
      <c r="W82" s="7"/>
      <c r="X82" s="7"/>
      <c r="Y82" s="7"/>
      <c r="Z82" s="7"/>
    </row>
    <row r="83" spans="1:26" x14ac:dyDescent="0.35">
      <c r="A83" s="275"/>
      <c r="B83" s="316"/>
      <c r="C83" s="1406"/>
      <c r="D83" s="383"/>
      <c r="E83" s="349"/>
      <c r="F83" s="1395"/>
      <c r="G83" s="7"/>
      <c r="H83" s="7"/>
      <c r="I83" s="7"/>
      <c r="J83" s="7"/>
      <c r="K83" s="7"/>
      <c r="L83" s="7"/>
      <c r="M83" s="7"/>
      <c r="N83" s="7"/>
      <c r="O83" s="7"/>
      <c r="P83" s="7"/>
      <c r="Q83" s="7"/>
      <c r="R83" s="7"/>
      <c r="S83" s="7"/>
      <c r="T83" s="7"/>
      <c r="U83" s="7"/>
      <c r="V83" s="7"/>
      <c r="W83" s="7"/>
      <c r="X83" s="7"/>
      <c r="Y83" s="7"/>
      <c r="Z83" s="7"/>
    </row>
    <row r="84" spans="1:26" x14ac:dyDescent="0.35">
      <c r="A84" s="275"/>
      <c r="B84" s="404" t="str">
        <f>'10 Discovery'!B1</f>
        <v>10 - Design for Discovery</v>
      </c>
      <c r="C84" s="1407"/>
      <c r="D84" s="405"/>
      <c r="E84" s="405"/>
      <c r="F84" s="1396"/>
      <c r="G84" s="7"/>
      <c r="H84" s="7"/>
      <c r="I84" s="7"/>
      <c r="J84" s="7"/>
      <c r="K84" s="7"/>
      <c r="L84" s="7"/>
      <c r="M84" s="7"/>
      <c r="N84" s="7"/>
      <c r="O84" s="7"/>
      <c r="P84" s="7"/>
      <c r="Q84" s="7"/>
      <c r="R84" s="7"/>
      <c r="S84" s="7"/>
      <c r="T84" s="7"/>
      <c r="U84" s="7"/>
      <c r="V84" s="7"/>
      <c r="W84" s="7"/>
      <c r="X84" s="7"/>
      <c r="Y84" s="7"/>
      <c r="Z84" s="7"/>
    </row>
    <row r="85" spans="1:26" x14ac:dyDescent="0.35">
      <c r="A85" s="275"/>
      <c r="B85" s="275"/>
      <c r="C85" s="1412"/>
      <c r="D85" s="275"/>
      <c r="E85" s="275"/>
      <c r="F85" s="1401"/>
      <c r="G85" s="8"/>
      <c r="H85" s="7"/>
      <c r="I85" s="7"/>
      <c r="J85" s="7"/>
      <c r="K85" s="7"/>
      <c r="L85" s="7"/>
      <c r="M85" s="7"/>
      <c r="N85" s="7"/>
      <c r="O85" s="7"/>
      <c r="P85" s="7"/>
      <c r="Q85" s="7"/>
      <c r="R85" s="7"/>
      <c r="S85" s="7"/>
      <c r="T85" s="7"/>
      <c r="U85" s="7"/>
      <c r="V85" s="7"/>
      <c r="W85" s="7"/>
      <c r="X85" s="7"/>
      <c r="Y85" s="7"/>
      <c r="Z85" s="7"/>
    </row>
    <row r="86" spans="1:26" x14ac:dyDescent="0.35">
      <c r="A86" s="275"/>
      <c r="B86" s="407" t="str">
        <f>'10 Discovery'!D14</f>
        <v>10.2 - Level of Post Occupancy Engagement</v>
      </c>
      <c r="C86" s="1410"/>
      <c r="D86" s="407"/>
      <c r="E86" s="407"/>
      <c r="F86" s="1399"/>
      <c r="G86" s="7"/>
      <c r="H86" s="7"/>
      <c r="I86" s="7"/>
      <c r="J86" s="7"/>
      <c r="K86" s="7"/>
      <c r="L86" s="7"/>
      <c r="M86" s="7"/>
      <c r="N86" s="7"/>
      <c r="O86" s="7"/>
      <c r="P86" s="7"/>
      <c r="Q86" s="7"/>
      <c r="R86" s="7"/>
      <c r="S86" s="7"/>
      <c r="T86" s="7"/>
      <c r="U86" s="7"/>
      <c r="V86" s="7"/>
      <c r="W86" s="7"/>
      <c r="X86" s="7"/>
      <c r="Y86" s="7"/>
      <c r="Z86" s="7"/>
    </row>
    <row r="87" spans="1:26" x14ac:dyDescent="0.35">
      <c r="A87" s="275"/>
      <c r="B87" s="349"/>
      <c r="C87" s="1406" t="s">
        <v>488</v>
      </c>
      <c r="D87" s="381">
        <f>Post_Occupancy_Evaluation_Score</f>
        <v>0</v>
      </c>
      <c r="E87" s="349"/>
      <c r="F87" s="1395" t="s">
        <v>807</v>
      </c>
      <c r="G87" s="7"/>
      <c r="H87" s="7"/>
      <c r="I87" s="7"/>
      <c r="J87" s="7"/>
      <c r="K87" s="7"/>
      <c r="L87" s="7"/>
      <c r="M87" s="7"/>
      <c r="N87" s="7"/>
      <c r="O87" s="7"/>
      <c r="P87" s="7"/>
      <c r="Q87" s="7"/>
      <c r="R87" s="7"/>
      <c r="S87" s="7"/>
      <c r="T87" s="7"/>
      <c r="U87" s="7"/>
      <c r="V87" s="7"/>
      <c r="W87" s="7"/>
      <c r="X87" s="7"/>
      <c r="Y87" s="7"/>
      <c r="Z87" s="7"/>
    </row>
    <row r="88" spans="1:26" x14ac:dyDescent="0.35">
      <c r="A88" s="370"/>
      <c r="B88" s="370"/>
      <c r="C88" s="1413"/>
      <c r="D88" s="402"/>
      <c r="E88" s="370"/>
      <c r="F88" s="1402"/>
      <c r="G88" s="7"/>
      <c r="H88" s="7"/>
      <c r="I88" s="7"/>
      <c r="J88" s="7"/>
      <c r="K88" s="7"/>
      <c r="L88" s="7"/>
      <c r="M88" s="7"/>
      <c r="N88" s="7"/>
      <c r="O88" s="7"/>
      <c r="P88" s="7"/>
      <c r="Q88" s="7"/>
      <c r="R88" s="7"/>
      <c r="S88" s="7"/>
      <c r="T88" s="7"/>
      <c r="U88" s="7"/>
      <c r="V88" s="7"/>
      <c r="W88" s="7"/>
      <c r="X88" s="7"/>
      <c r="Y88" s="7"/>
      <c r="Z88" s="7"/>
    </row>
    <row r="89" spans="1:26" x14ac:dyDescent="0.35">
      <c r="A89" s="370"/>
      <c r="B89" s="370"/>
      <c r="C89" s="1413"/>
      <c r="D89" s="402"/>
      <c r="E89" s="370"/>
      <c r="F89" s="1402"/>
      <c r="G89" s="7"/>
      <c r="H89" s="7"/>
      <c r="I89" s="7"/>
      <c r="J89" s="7"/>
      <c r="K89" s="7"/>
      <c r="L89" s="7"/>
      <c r="M89" s="7"/>
      <c r="N89" s="7"/>
      <c r="O89" s="7"/>
      <c r="P89" s="7"/>
      <c r="Q89" s="7"/>
      <c r="R89" s="7"/>
      <c r="S89" s="7"/>
      <c r="T89" s="7"/>
      <c r="U89" s="7"/>
      <c r="V89" s="7"/>
      <c r="W89" s="7"/>
      <c r="X89" s="7"/>
      <c r="Y89" s="7"/>
      <c r="Z89" s="7"/>
    </row>
    <row r="90" spans="1:26" x14ac:dyDescent="0.35">
      <c r="A90" s="370"/>
      <c r="B90" s="370"/>
      <c r="C90" s="1413"/>
      <c r="D90" s="402"/>
      <c r="E90" s="370"/>
      <c r="F90" s="1402"/>
      <c r="G90" s="7"/>
      <c r="H90" s="7"/>
      <c r="I90" s="7"/>
      <c r="J90" s="7"/>
      <c r="K90" s="7"/>
      <c r="L90" s="7"/>
      <c r="M90" s="7"/>
      <c r="N90" s="7"/>
      <c r="O90" s="7"/>
      <c r="P90" s="7"/>
      <c r="Q90" s="7"/>
      <c r="R90" s="7"/>
      <c r="S90" s="7"/>
      <c r="T90" s="7"/>
      <c r="U90" s="7"/>
      <c r="V90" s="7"/>
      <c r="W90" s="7"/>
      <c r="X90" s="7"/>
      <c r="Y90" s="7"/>
      <c r="Z90" s="7"/>
    </row>
    <row r="91" spans="1:26" x14ac:dyDescent="0.35">
      <c r="A91" s="7"/>
      <c r="B91" s="7"/>
      <c r="C91" s="1404"/>
      <c r="D91" s="17"/>
      <c r="E91" s="7"/>
      <c r="F91" s="1393"/>
      <c r="G91" s="7"/>
      <c r="H91" s="7"/>
      <c r="I91" s="7"/>
      <c r="J91" s="7"/>
      <c r="K91" s="7"/>
      <c r="L91" s="7"/>
      <c r="M91" s="7"/>
      <c r="N91" s="7"/>
      <c r="O91" s="7"/>
      <c r="P91" s="7"/>
      <c r="Q91" s="7"/>
      <c r="R91" s="7"/>
      <c r="S91" s="7"/>
      <c r="T91" s="7"/>
      <c r="U91" s="7"/>
      <c r="V91" s="7"/>
      <c r="W91" s="7"/>
      <c r="X91" s="7"/>
      <c r="Y91" s="7"/>
      <c r="Z91" s="7"/>
    </row>
    <row r="92" spans="1:26" x14ac:dyDescent="0.35">
      <c r="A92" s="7"/>
      <c r="B92" s="7"/>
      <c r="C92" s="1404"/>
      <c r="D92" s="17"/>
      <c r="E92" s="7"/>
      <c r="F92" s="1393"/>
      <c r="G92" s="7"/>
      <c r="H92" s="7"/>
      <c r="I92" s="7"/>
      <c r="J92" s="7"/>
      <c r="K92" s="7"/>
      <c r="L92" s="7"/>
      <c r="M92" s="7"/>
      <c r="N92" s="7"/>
      <c r="O92" s="7"/>
      <c r="P92" s="7"/>
      <c r="Q92" s="7"/>
      <c r="R92" s="7"/>
      <c r="S92" s="7"/>
      <c r="T92" s="7"/>
      <c r="U92" s="7"/>
      <c r="V92" s="7"/>
      <c r="W92" s="7"/>
      <c r="X92" s="7"/>
      <c r="Y92" s="7"/>
      <c r="Z92" s="7"/>
    </row>
    <row r="93" spans="1:26" x14ac:dyDescent="0.35">
      <c r="A93" s="7"/>
      <c r="B93" s="7"/>
      <c r="C93" s="1404"/>
      <c r="D93" s="17"/>
      <c r="E93" s="7"/>
      <c r="F93" s="1393"/>
      <c r="G93" s="7"/>
      <c r="H93" s="7"/>
      <c r="I93" s="7"/>
      <c r="J93" s="7"/>
      <c r="K93" s="7"/>
      <c r="L93" s="7"/>
      <c r="M93" s="7"/>
      <c r="N93" s="7"/>
      <c r="O93" s="7"/>
      <c r="P93" s="7"/>
      <c r="Q93" s="7"/>
      <c r="R93" s="7"/>
      <c r="S93" s="7"/>
      <c r="T93" s="7"/>
      <c r="U93" s="7"/>
      <c r="V93" s="7"/>
      <c r="W93" s="7"/>
      <c r="X93" s="7"/>
      <c r="Y93" s="7"/>
      <c r="Z93" s="7"/>
    </row>
    <row r="94" spans="1:26" x14ac:dyDescent="0.35">
      <c r="A94" s="7"/>
      <c r="B94" s="7"/>
      <c r="C94" s="1404"/>
      <c r="D94" s="17"/>
      <c r="E94" s="7"/>
      <c r="F94" s="1393"/>
      <c r="G94" s="7"/>
      <c r="H94" s="7"/>
      <c r="I94" s="7"/>
      <c r="J94" s="7"/>
      <c r="K94" s="7"/>
      <c r="L94" s="7"/>
      <c r="M94" s="7"/>
      <c r="N94" s="7"/>
      <c r="O94" s="7"/>
      <c r="P94" s="7"/>
      <c r="Q94" s="7"/>
      <c r="R94" s="7"/>
      <c r="S94" s="7"/>
      <c r="T94" s="7"/>
      <c r="U94" s="7"/>
      <c r="V94" s="7"/>
      <c r="W94" s="7"/>
      <c r="X94" s="7"/>
      <c r="Y94" s="7"/>
      <c r="Z94" s="7"/>
    </row>
    <row r="95" spans="1:26" x14ac:dyDescent="0.35">
      <c r="A95" s="7"/>
      <c r="B95" s="7"/>
      <c r="C95" s="1404"/>
      <c r="D95" s="17"/>
      <c r="E95" s="7"/>
      <c r="F95" s="1393"/>
      <c r="G95" s="7"/>
      <c r="H95" s="304" t="s">
        <v>512</v>
      </c>
      <c r="I95" s="7"/>
      <c r="J95" s="7"/>
      <c r="K95" s="7"/>
      <c r="L95" s="7"/>
      <c r="M95" s="7"/>
      <c r="N95" s="7"/>
      <c r="O95" s="7"/>
      <c r="P95" s="7"/>
      <c r="Q95" s="7"/>
      <c r="R95" s="7"/>
      <c r="S95" s="7"/>
      <c r="T95" s="7"/>
      <c r="U95" s="7"/>
      <c r="V95" s="7"/>
      <c r="W95" s="7"/>
      <c r="X95" s="7"/>
      <c r="Y95" s="7"/>
      <c r="Z95" s="7"/>
    </row>
    <row r="96" spans="1:26" x14ac:dyDescent="0.35">
      <c r="A96" s="7"/>
      <c r="B96" s="7"/>
      <c r="C96" s="1404"/>
      <c r="D96" s="17"/>
      <c r="E96" s="7"/>
      <c r="F96" s="1393"/>
      <c r="G96" s="7"/>
      <c r="H96" s="7"/>
      <c r="I96" s="7"/>
      <c r="J96" s="7"/>
      <c r="K96" s="7"/>
      <c r="L96" s="7"/>
      <c r="M96" s="7"/>
      <c r="N96" s="7"/>
      <c r="O96" s="7"/>
      <c r="P96" s="7"/>
      <c r="Q96" s="7"/>
      <c r="R96" s="7"/>
      <c r="S96" s="7"/>
      <c r="T96" s="7"/>
      <c r="U96" s="7"/>
      <c r="V96" s="7"/>
      <c r="W96" s="7"/>
      <c r="X96" s="7"/>
      <c r="Y96" s="7"/>
      <c r="Z96" s="7"/>
    </row>
    <row r="97" spans="1:26" x14ac:dyDescent="0.35">
      <c r="A97" s="7"/>
      <c r="B97" s="7"/>
      <c r="C97" s="1404"/>
      <c r="D97" s="17"/>
      <c r="E97" s="7"/>
      <c r="F97" s="1393"/>
      <c r="G97" s="7"/>
      <c r="H97" s="7"/>
      <c r="I97" s="7"/>
      <c r="J97" s="7"/>
      <c r="K97" s="7"/>
      <c r="L97" s="7"/>
      <c r="M97" s="7"/>
      <c r="N97" s="7"/>
      <c r="O97" s="7"/>
      <c r="P97" s="7"/>
      <c r="Q97" s="7"/>
      <c r="R97" s="7"/>
      <c r="S97" s="7"/>
      <c r="T97" s="7"/>
      <c r="U97" s="7"/>
      <c r="V97" s="7"/>
      <c r="W97" s="7"/>
      <c r="X97" s="7"/>
      <c r="Y97" s="7"/>
      <c r="Z97" s="7"/>
    </row>
    <row r="98" spans="1:26" x14ac:dyDescent="0.35">
      <c r="A98" s="7"/>
      <c r="B98" s="7"/>
      <c r="C98" s="1404"/>
      <c r="D98" s="17"/>
      <c r="E98" s="7"/>
      <c r="F98" s="1393"/>
      <c r="G98" s="7"/>
      <c r="H98" s="7"/>
      <c r="I98" s="7"/>
      <c r="J98" s="7"/>
      <c r="K98" s="7"/>
      <c r="L98" s="7"/>
      <c r="M98" s="7"/>
      <c r="N98" s="7"/>
      <c r="O98" s="7"/>
      <c r="P98" s="7"/>
      <c r="Q98" s="7"/>
      <c r="R98" s="7"/>
      <c r="S98" s="7"/>
      <c r="T98" s="7"/>
      <c r="U98" s="7"/>
      <c r="V98" s="7"/>
      <c r="W98" s="7"/>
      <c r="X98" s="7"/>
      <c r="Y98" s="7"/>
      <c r="Z98" s="7"/>
    </row>
    <row r="99" spans="1:26" x14ac:dyDescent="0.35">
      <c r="A99" s="7"/>
      <c r="B99" s="7"/>
      <c r="C99" s="1404"/>
      <c r="D99" s="17"/>
      <c r="E99" s="7"/>
      <c r="F99" s="1393"/>
      <c r="G99" s="7"/>
      <c r="H99" s="7"/>
      <c r="I99" s="7"/>
      <c r="J99" s="7"/>
      <c r="K99" s="7"/>
      <c r="L99" s="7"/>
      <c r="M99" s="7"/>
      <c r="N99" s="7"/>
      <c r="O99" s="7"/>
      <c r="P99" s="7"/>
      <c r="Q99" s="7"/>
      <c r="R99" s="7"/>
      <c r="S99" s="7"/>
      <c r="T99" s="7"/>
      <c r="U99" s="7"/>
      <c r="V99" s="7"/>
      <c r="W99" s="7"/>
      <c r="X99" s="7"/>
      <c r="Y99" s="7"/>
      <c r="Z99" s="7"/>
    </row>
    <row r="100" spans="1:26" x14ac:dyDescent="0.35">
      <c r="A100" s="7"/>
      <c r="B100" s="7"/>
      <c r="C100" s="1404"/>
      <c r="D100" s="17"/>
      <c r="E100" s="7"/>
      <c r="F100" s="1393"/>
      <c r="G100" s="7"/>
      <c r="H100" s="7"/>
      <c r="I100" s="7"/>
      <c r="J100" s="7"/>
      <c r="K100" s="7"/>
      <c r="L100" s="7"/>
      <c r="M100" s="7"/>
      <c r="N100" s="7"/>
      <c r="O100" s="7"/>
      <c r="P100" s="7"/>
      <c r="Q100" s="7"/>
      <c r="R100" s="7"/>
      <c r="S100" s="7"/>
      <c r="T100" s="7"/>
      <c r="U100" s="7"/>
      <c r="V100" s="7"/>
      <c r="W100" s="7"/>
      <c r="X100" s="7"/>
      <c r="Y100" s="7"/>
      <c r="Z100" s="7"/>
    </row>
    <row r="101" spans="1:26" x14ac:dyDescent="0.35">
      <c r="A101" s="7"/>
      <c r="B101" s="7"/>
      <c r="C101" s="1404"/>
      <c r="D101" s="17"/>
      <c r="E101" s="7"/>
      <c r="F101" s="1393"/>
      <c r="G101" s="7"/>
      <c r="H101" s="7"/>
      <c r="I101" s="7"/>
      <c r="J101" s="7"/>
      <c r="K101" s="7"/>
      <c r="L101" s="7"/>
      <c r="M101" s="7"/>
      <c r="N101" s="7"/>
      <c r="O101" s="7"/>
      <c r="P101" s="7"/>
      <c r="Q101" s="7"/>
      <c r="R101" s="7"/>
      <c r="S101" s="7"/>
      <c r="T101" s="7"/>
      <c r="U101" s="7"/>
      <c r="V101" s="7"/>
      <c r="W101" s="7"/>
      <c r="X101" s="7"/>
      <c r="Y101" s="7"/>
      <c r="Z101" s="7"/>
    </row>
    <row r="102" spans="1:26" x14ac:dyDescent="0.35">
      <c r="A102" s="7"/>
      <c r="B102" s="7"/>
      <c r="C102" s="1404"/>
      <c r="D102" s="17"/>
      <c r="E102" s="7"/>
      <c r="F102" s="1393"/>
      <c r="G102" s="7"/>
      <c r="H102" s="7"/>
      <c r="I102" s="7"/>
      <c r="J102" s="7"/>
      <c r="K102" s="7"/>
      <c r="L102" s="7"/>
      <c r="M102" s="7"/>
      <c r="N102" s="7"/>
      <c r="O102" s="7"/>
      <c r="P102" s="7"/>
      <c r="Q102" s="7"/>
      <c r="R102" s="7"/>
      <c r="S102" s="7"/>
      <c r="T102" s="7"/>
      <c r="U102" s="7"/>
      <c r="V102" s="7"/>
      <c r="W102" s="7"/>
      <c r="X102" s="7"/>
      <c r="Y102" s="7"/>
      <c r="Z102" s="7"/>
    </row>
    <row r="103" spans="1:26" x14ac:dyDescent="0.35">
      <c r="A103" s="7"/>
      <c r="B103" s="7"/>
      <c r="C103" s="1404"/>
      <c r="D103" s="17"/>
      <c r="E103" s="7"/>
      <c r="F103" s="1393"/>
      <c r="G103" s="7"/>
      <c r="H103" s="7"/>
      <c r="I103" s="7"/>
      <c r="J103" s="7"/>
      <c r="K103" s="7"/>
      <c r="L103" s="7"/>
      <c r="M103" s="7"/>
      <c r="N103" s="7"/>
      <c r="O103" s="7"/>
      <c r="P103" s="7"/>
      <c r="Q103" s="7"/>
      <c r="R103" s="7"/>
      <c r="S103" s="7"/>
      <c r="T103" s="7"/>
      <c r="U103" s="7"/>
      <c r="V103" s="7"/>
      <c r="W103" s="7"/>
      <c r="X103" s="7"/>
      <c r="Y103" s="7"/>
      <c r="Z103" s="7"/>
    </row>
    <row r="104" spans="1:26" x14ac:dyDescent="0.35">
      <c r="A104" s="7"/>
      <c r="B104" s="7"/>
      <c r="C104" s="1404"/>
      <c r="D104" s="17"/>
      <c r="E104" s="7"/>
      <c r="F104" s="1393"/>
      <c r="G104" s="7"/>
      <c r="H104" s="7"/>
      <c r="I104" s="7"/>
      <c r="J104" s="7"/>
      <c r="K104" s="7"/>
      <c r="L104" s="7"/>
      <c r="M104" s="7"/>
      <c r="N104" s="7"/>
      <c r="O104" s="7"/>
      <c r="P104" s="7"/>
      <c r="Q104" s="7"/>
      <c r="R104" s="7"/>
      <c r="S104" s="7"/>
      <c r="T104" s="7"/>
      <c r="U104" s="7"/>
      <c r="V104" s="7"/>
      <c r="W104" s="7"/>
      <c r="X104" s="7"/>
      <c r="Y104" s="7"/>
      <c r="Z104" s="7"/>
    </row>
    <row r="105" spans="1:26" x14ac:dyDescent="0.35">
      <c r="A105" s="7"/>
      <c r="B105" s="7"/>
      <c r="C105" s="1404"/>
      <c r="D105" s="17"/>
      <c r="E105" s="7"/>
      <c r="F105" s="1393"/>
      <c r="G105" s="7"/>
      <c r="H105" s="7"/>
      <c r="I105" s="7"/>
      <c r="J105" s="7"/>
      <c r="K105" s="7"/>
      <c r="L105" s="7"/>
      <c r="M105" s="7"/>
      <c r="N105" s="7"/>
      <c r="O105" s="7"/>
      <c r="P105" s="7"/>
      <c r="Q105" s="7"/>
      <c r="R105" s="7"/>
      <c r="S105" s="7"/>
      <c r="T105" s="7"/>
      <c r="U105" s="7"/>
      <c r="V105" s="7"/>
      <c r="W105" s="7"/>
      <c r="X105" s="7"/>
      <c r="Y105" s="7"/>
      <c r="Z105" s="7"/>
    </row>
    <row r="106" spans="1:26" x14ac:dyDescent="0.35">
      <c r="A106" s="7"/>
      <c r="B106" s="7"/>
      <c r="C106" s="1404"/>
      <c r="D106" s="17"/>
      <c r="E106" s="7"/>
      <c r="F106" s="1393"/>
      <c r="G106" s="7"/>
      <c r="H106" s="7"/>
      <c r="I106" s="7"/>
      <c r="J106" s="7"/>
      <c r="K106" s="7"/>
      <c r="L106" s="7"/>
      <c r="M106" s="7"/>
      <c r="N106" s="7"/>
      <c r="O106" s="7"/>
      <c r="P106" s="7"/>
      <c r="Q106" s="7"/>
      <c r="R106" s="7"/>
      <c r="S106" s="7"/>
      <c r="T106" s="7"/>
      <c r="U106" s="7"/>
      <c r="V106" s="7"/>
      <c r="W106" s="7"/>
      <c r="X106" s="7"/>
      <c r="Y106" s="7"/>
      <c r="Z106" s="7"/>
    </row>
    <row r="107" spans="1:26" x14ac:dyDescent="0.35">
      <c r="A107" s="7"/>
      <c r="B107" s="7"/>
      <c r="C107" s="1404"/>
      <c r="D107" s="17"/>
      <c r="E107" s="7"/>
      <c r="F107" s="1393"/>
      <c r="G107" s="7"/>
      <c r="H107" s="7"/>
      <c r="I107" s="7"/>
      <c r="J107" s="7"/>
      <c r="K107" s="7"/>
      <c r="L107" s="7"/>
      <c r="M107" s="7"/>
      <c r="N107" s="7"/>
      <c r="O107" s="7"/>
      <c r="P107" s="7"/>
      <c r="Q107" s="7"/>
      <c r="R107" s="7"/>
      <c r="S107" s="7"/>
      <c r="T107" s="7"/>
      <c r="U107" s="7"/>
      <c r="V107" s="7"/>
      <c r="W107" s="7"/>
      <c r="X107" s="7"/>
      <c r="Y107" s="7"/>
      <c r="Z107" s="7"/>
    </row>
    <row r="108" spans="1:26" x14ac:dyDescent="0.35">
      <c r="A108" s="7"/>
      <c r="B108" s="7"/>
      <c r="C108" s="1404"/>
      <c r="D108" s="17"/>
      <c r="E108" s="7"/>
      <c r="F108" s="1393"/>
      <c r="G108" s="7"/>
      <c r="H108" s="7"/>
      <c r="I108" s="7"/>
      <c r="J108" s="7"/>
      <c r="K108" s="7"/>
      <c r="L108" s="7"/>
      <c r="M108" s="7"/>
      <c r="N108" s="7"/>
      <c r="O108" s="7"/>
      <c r="P108" s="7"/>
      <c r="Q108" s="7"/>
      <c r="R108" s="7"/>
      <c r="S108" s="7"/>
      <c r="T108" s="7"/>
      <c r="U108" s="7"/>
      <c r="V108" s="7"/>
      <c r="W108" s="7"/>
      <c r="X108" s="7"/>
      <c r="Y108" s="7"/>
      <c r="Z108" s="7"/>
    </row>
    <row r="109" spans="1:26" x14ac:dyDescent="0.35">
      <c r="A109" s="7"/>
      <c r="B109" s="7"/>
      <c r="C109" s="1404"/>
      <c r="D109" s="17"/>
      <c r="E109" s="7"/>
      <c r="F109" s="1393"/>
      <c r="G109" s="7"/>
      <c r="H109" s="7"/>
      <c r="I109" s="7"/>
      <c r="J109" s="7"/>
      <c r="K109" s="7"/>
      <c r="L109" s="7"/>
      <c r="M109" s="7"/>
      <c r="N109" s="7"/>
      <c r="O109" s="7"/>
      <c r="P109" s="7"/>
      <c r="Q109" s="7"/>
      <c r="R109" s="7"/>
      <c r="S109" s="7"/>
      <c r="T109" s="7"/>
      <c r="U109" s="7"/>
      <c r="V109" s="7"/>
      <c r="W109" s="7"/>
      <c r="X109" s="7"/>
      <c r="Y109" s="7"/>
      <c r="Z109" s="7"/>
    </row>
    <row r="110" spans="1:26" x14ac:dyDescent="0.35">
      <c r="A110" s="7"/>
      <c r="B110" s="7"/>
      <c r="C110" s="1404"/>
      <c r="D110" s="17"/>
      <c r="E110" s="7"/>
      <c r="F110" s="1393"/>
      <c r="G110" s="7"/>
      <c r="H110" s="7"/>
      <c r="I110" s="7"/>
      <c r="J110" s="7"/>
      <c r="K110" s="7"/>
      <c r="L110" s="7"/>
      <c r="M110" s="7"/>
      <c r="N110" s="7"/>
      <c r="O110" s="7"/>
      <c r="P110" s="7"/>
      <c r="Q110" s="7"/>
      <c r="R110" s="7"/>
      <c r="S110" s="7"/>
      <c r="T110" s="7"/>
      <c r="U110" s="7"/>
      <c r="V110" s="7"/>
      <c r="W110" s="7"/>
      <c r="X110" s="7"/>
      <c r="Y110" s="7"/>
      <c r="Z110" s="7"/>
    </row>
    <row r="111" spans="1:26" x14ac:dyDescent="0.35">
      <c r="A111" s="7"/>
      <c r="B111" s="7"/>
      <c r="C111" s="1404"/>
      <c r="D111" s="17"/>
      <c r="E111" s="7"/>
      <c r="F111" s="1393"/>
      <c r="G111" s="7"/>
      <c r="H111" s="7"/>
      <c r="I111" s="7"/>
      <c r="J111" s="7"/>
      <c r="K111" s="7"/>
      <c r="L111" s="7"/>
      <c r="M111" s="7"/>
      <c r="N111" s="7"/>
      <c r="O111" s="7"/>
      <c r="P111" s="7"/>
      <c r="Q111" s="7"/>
      <c r="R111" s="7"/>
      <c r="S111" s="7"/>
      <c r="T111" s="7"/>
      <c r="U111" s="7"/>
      <c r="V111" s="7"/>
      <c r="W111" s="7"/>
      <c r="X111" s="7"/>
      <c r="Y111" s="7"/>
      <c r="Z111" s="7"/>
    </row>
    <row r="112" spans="1:26" x14ac:dyDescent="0.35">
      <c r="A112" s="7"/>
      <c r="B112" s="7"/>
      <c r="C112" s="1404"/>
      <c r="D112" s="17"/>
      <c r="E112" s="7"/>
      <c r="F112" s="1393"/>
      <c r="G112" s="7"/>
      <c r="H112" s="7"/>
      <c r="I112" s="7"/>
      <c r="J112" s="7"/>
      <c r="K112" s="7"/>
      <c r="L112" s="7"/>
      <c r="M112" s="7"/>
      <c r="N112" s="7"/>
      <c r="O112" s="7"/>
      <c r="P112" s="7"/>
      <c r="Q112" s="7"/>
      <c r="R112" s="7"/>
      <c r="S112" s="7"/>
      <c r="T112" s="7"/>
      <c r="U112" s="7"/>
      <c r="V112" s="7"/>
      <c r="W112" s="7"/>
      <c r="X112" s="7"/>
      <c r="Y112" s="7"/>
      <c r="Z112" s="7"/>
    </row>
    <row r="113" spans="1:26" x14ac:dyDescent="0.35">
      <c r="A113" s="7"/>
      <c r="B113" s="7"/>
      <c r="C113" s="1404"/>
      <c r="D113" s="17"/>
      <c r="E113" s="7"/>
      <c r="F113" s="1393"/>
      <c r="G113" s="7"/>
      <c r="H113" s="7"/>
      <c r="I113" s="7"/>
      <c r="J113" s="7"/>
      <c r="K113" s="7"/>
      <c r="L113" s="7"/>
      <c r="M113" s="7"/>
      <c r="N113" s="7"/>
      <c r="O113" s="7"/>
      <c r="P113" s="7"/>
      <c r="Q113" s="7"/>
      <c r="R113" s="7"/>
      <c r="S113" s="7"/>
      <c r="T113" s="7"/>
      <c r="U113" s="7"/>
      <c r="V113" s="7"/>
      <c r="W113" s="7"/>
      <c r="X113" s="7"/>
      <c r="Y113" s="7"/>
      <c r="Z113" s="7"/>
    </row>
    <row r="114" spans="1:26" x14ac:dyDescent="0.35">
      <c r="A114" s="7"/>
      <c r="B114" s="7"/>
      <c r="C114" s="1404"/>
      <c r="D114" s="17"/>
      <c r="E114" s="7"/>
      <c r="F114" s="1393"/>
      <c r="G114" s="7"/>
      <c r="H114" s="7"/>
      <c r="I114" s="7"/>
      <c r="J114" s="7"/>
      <c r="K114" s="7"/>
      <c r="L114" s="7"/>
      <c r="M114" s="7"/>
      <c r="N114" s="7"/>
      <c r="O114" s="7"/>
      <c r="P114" s="7"/>
      <c r="Q114" s="7"/>
      <c r="R114" s="7"/>
      <c r="S114" s="7"/>
      <c r="T114" s="7"/>
      <c r="U114" s="7"/>
      <c r="V114" s="7"/>
      <c r="W114" s="7"/>
      <c r="X114" s="7"/>
      <c r="Y114" s="7"/>
      <c r="Z114" s="7"/>
    </row>
    <row r="115" spans="1:26" x14ac:dyDescent="0.35">
      <c r="A115" s="7"/>
      <c r="B115" s="7"/>
      <c r="C115" s="1404"/>
      <c r="D115" s="17"/>
      <c r="E115" s="7"/>
      <c r="F115" s="1393"/>
      <c r="G115" s="7"/>
      <c r="H115" s="7"/>
      <c r="I115" s="7"/>
      <c r="J115" s="7"/>
      <c r="K115" s="7"/>
      <c r="L115" s="7"/>
      <c r="M115" s="7"/>
      <c r="N115" s="7"/>
      <c r="O115" s="7"/>
      <c r="P115" s="7"/>
      <c r="Q115" s="7"/>
      <c r="R115" s="7"/>
      <c r="S115" s="7"/>
      <c r="T115" s="7"/>
      <c r="U115" s="7"/>
      <c r="V115" s="7"/>
      <c r="W115" s="7"/>
      <c r="X115" s="7"/>
      <c r="Y115" s="7"/>
      <c r="Z115" s="7"/>
    </row>
    <row r="116" spans="1:26" x14ac:dyDescent="0.35">
      <c r="A116" s="7"/>
      <c r="B116" s="7"/>
      <c r="C116" s="1404"/>
      <c r="D116" s="17"/>
      <c r="E116" s="7"/>
      <c r="F116" s="1393"/>
      <c r="G116" s="7"/>
      <c r="H116" s="7"/>
      <c r="I116" s="7"/>
      <c r="J116" s="7"/>
      <c r="K116" s="7"/>
      <c r="L116" s="7"/>
      <c r="M116" s="7"/>
      <c r="N116" s="7"/>
      <c r="O116" s="7"/>
      <c r="P116" s="7"/>
      <c r="Q116" s="7"/>
      <c r="R116" s="7"/>
      <c r="S116" s="7"/>
      <c r="T116" s="7"/>
      <c r="U116" s="7"/>
      <c r="V116" s="7"/>
      <c r="W116" s="7"/>
      <c r="X116" s="7"/>
      <c r="Y116" s="7"/>
      <c r="Z116" s="7"/>
    </row>
    <row r="117" spans="1:26" x14ac:dyDescent="0.35">
      <c r="A117" s="7"/>
      <c r="B117" s="7"/>
      <c r="C117" s="1404"/>
      <c r="D117" s="17"/>
      <c r="E117" s="7"/>
      <c r="F117" s="1393"/>
      <c r="G117" s="7"/>
      <c r="H117" s="7"/>
      <c r="I117" s="7"/>
      <c r="J117" s="7"/>
      <c r="K117" s="7"/>
      <c r="L117" s="7"/>
      <c r="M117" s="7"/>
      <c r="N117" s="7"/>
      <c r="O117" s="7"/>
      <c r="P117" s="7"/>
      <c r="Q117" s="7"/>
      <c r="R117" s="7"/>
      <c r="S117" s="7"/>
      <c r="T117" s="7"/>
      <c r="U117" s="7"/>
      <c r="V117" s="7"/>
      <c r="W117" s="7"/>
      <c r="X117" s="7"/>
      <c r="Y117" s="7"/>
      <c r="Z117" s="7"/>
    </row>
    <row r="118" spans="1:26" x14ac:dyDescent="0.35">
      <c r="A118" s="7"/>
      <c r="B118" s="7"/>
      <c r="C118" s="1404"/>
      <c r="D118" s="17"/>
      <c r="E118" s="7"/>
      <c r="F118" s="1393"/>
      <c r="G118" s="7"/>
      <c r="H118" s="7"/>
      <c r="I118" s="7"/>
      <c r="J118" s="7"/>
      <c r="K118" s="7"/>
      <c r="L118" s="7"/>
      <c r="M118" s="7"/>
      <c r="N118" s="7"/>
      <c r="O118" s="7"/>
      <c r="P118" s="7"/>
      <c r="Q118" s="7"/>
      <c r="R118" s="7"/>
      <c r="S118" s="7"/>
      <c r="T118" s="7"/>
      <c r="U118" s="7"/>
      <c r="V118" s="7"/>
      <c r="W118" s="7"/>
      <c r="X118" s="7"/>
      <c r="Y118" s="7"/>
      <c r="Z118" s="7"/>
    </row>
    <row r="119" spans="1:26" x14ac:dyDescent="0.35">
      <c r="A119" s="7"/>
      <c r="B119" s="7"/>
      <c r="C119" s="1404"/>
      <c r="D119" s="17"/>
      <c r="E119" s="7"/>
      <c r="F119" s="1393"/>
      <c r="G119" s="7"/>
      <c r="H119" s="7"/>
      <c r="I119" s="7"/>
      <c r="J119" s="7"/>
      <c r="K119" s="7"/>
      <c r="L119" s="7"/>
      <c r="M119" s="7"/>
      <c r="N119" s="7"/>
      <c r="O119" s="7"/>
      <c r="P119" s="7"/>
      <c r="Q119" s="7"/>
      <c r="R119" s="7"/>
      <c r="S119" s="7"/>
      <c r="T119" s="7"/>
      <c r="U119" s="7"/>
      <c r="V119" s="7"/>
      <c r="W119" s="7"/>
      <c r="X119" s="7"/>
      <c r="Y119" s="7"/>
      <c r="Z119" s="7"/>
    </row>
    <row r="120" spans="1:26" x14ac:dyDescent="0.35">
      <c r="A120" s="7"/>
      <c r="B120" s="7"/>
      <c r="C120" s="1404"/>
      <c r="D120" s="17"/>
      <c r="E120" s="7"/>
      <c r="F120" s="1393"/>
      <c r="G120" s="7"/>
      <c r="H120" s="7"/>
      <c r="I120" s="7"/>
      <c r="J120" s="7"/>
      <c r="K120" s="7"/>
      <c r="L120" s="7"/>
      <c r="M120" s="7"/>
      <c r="N120" s="7"/>
      <c r="O120" s="7"/>
      <c r="P120" s="7"/>
      <c r="Q120" s="7"/>
      <c r="R120" s="7"/>
      <c r="S120" s="7"/>
      <c r="T120" s="7"/>
      <c r="U120" s="7"/>
      <c r="V120" s="7"/>
      <c r="W120" s="7"/>
      <c r="X120" s="7"/>
      <c r="Y120" s="7"/>
      <c r="Z120" s="7"/>
    </row>
    <row r="121" spans="1:26" x14ac:dyDescent="0.35">
      <c r="A121" s="7"/>
      <c r="B121" s="7"/>
      <c r="C121" s="1404"/>
      <c r="D121" s="17"/>
      <c r="E121" s="7"/>
      <c r="F121" s="1393"/>
      <c r="G121" s="7"/>
      <c r="H121" s="7"/>
      <c r="I121" s="7"/>
      <c r="J121" s="7"/>
      <c r="K121" s="7"/>
      <c r="L121" s="7"/>
      <c r="M121" s="7"/>
      <c r="N121" s="7"/>
      <c r="O121" s="7"/>
      <c r="P121" s="7"/>
      <c r="Q121" s="7"/>
      <c r="R121" s="7"/>
      <c r="S121" s="7"/>
      <c r="T121" s="7"/>
      <c r="U121" s="7"/>
      <c r="V121" s="7"/>
      <c r="W121" s="7"/>
      <c r="X121" s="7"/>
      <c r="Y121" s="7"/>
      <c r="Z121" s="7"/>
    </row>
    <row r="122" spans="1:26" x14ac:dyDescent="0.35">
      <c r="A122" s="7"/>
      <c r="B122" s="7"/>
      <c r="C122" s="1404"/>
      <c r="D122" s="17"/>
      <c r="E122" s="7"/>
      <c r="F122" s="1393"/>
      <c r="G122" s="7"/>
      <c r="H122" s="7"/>
      <c r="I122" s="7"/>
      <c r="J122" s="7"/>
      <c r="K122" s="7"/>
      <c r="L122" s="7"/>
      <c r="M122" s="7"/>
      <c r="N122" s="7"/>
      <c r="O122" s="7"/>
      <c r="P122" s="7"/>
      <c r="Q122" s="7"/>
      <c r="R122" s="7"/>
      <c r="S122" s="7"/>
      <c r="T122" s="7"/>
      <c r="U122" s="7"/>
      <c r="V122" s="7"/>
      <c r="W122" s="7"/>
      <c r="X122" s="7"/>
      <c r="Y122" s="7"/>
      <c r="Z122" s="7"/>
    </row>
    <row r="123" spans="1:26" x14ac:dyDescent="0.35">
      <c r="A123" s="7"/>
      <c r="B123" s="7"/>
      <c r="C123" s="1404"/>
      <c r="D123" s="17"/>
      <c r="E123" s="7"/>
      <c r="F123" s="1393"/>
      <c r="G123" s="7"/>
      <c r="H123" s="7"/>
      <c r="I123" s="7"/>
      <c r="J123" s="7"/>
      <c r="K123" s="7"/>
      <c r="L123" s="7"/>
      <c r="M123" s="7"/>
      <c r="N123" s="7"/>
      <c r="O123" s="7"/>
      <c r="P123" s="7"/>
      <c r="Q123" s="7"/>
      <c r="R123" s="7"/>
      <c r="S123" s="7"/>
      <c r="T123" s="7"/>
      <c r="U123" s="7"/>
      <c r="V123" s="7"/>
      <c r="W123" s="7"/>
      <c r="X123" s="7"/>
      <c r="Y123" s="7"/>
      <c r="Z123" s="7"/>
    </row>
    <row r="124" spans="1:26" x14ac:dyDescent="0.35">
      <c r="A124" s="7"/>
      <c r="B124" s="7"/>
      <c r="C124" s="1404"/>
      <c r="D124" s="17"/>
      <c r="E124" s="7"/>
      <c r="F124" s="1393"/>
      <c r="G124" s="7"/>
      <c r="H124" s="7"/>
      <c r="I124" s="7"/>
      <c r="J124" s="7"/>
      <c r="K124" s="7"/>
      <c r="L124" s="7"/>
      <c r="M124" s="7"/>
      <c r="N124" s="7"/>
      <c r="O124" s="7"/>
      <c r="P124" s="7"/>
      <c r="Q124" s="7"/>
      <c r="R124" s="7"/>
      <c r="S124" s="7"/>
      <c r="T124" s="7"/>
      <c r="U124" s="7"/>
      <c r="V124" s="7"/>
      <c r="W124" s="7"/>
      <c r="X124" s="7"/>
      <c r="Y124" s="7"/>
      <c r="Z124" s="7"/>
    </row>
    <row r="125" spans="1:26" x14ac:dyDescent="0.35">
      <c r="A125" s="7"/>
      <c r="B125" s="7"/>
      <c r="C125" s="1404"/>
      <c r="D125" s="17"/>
      <c r="E125" s="7"/>
      <c r="F125" s="1393"/>
      <c r="G125" s="7"/>
      <c r="H125" s="7"/>
      <c r="I125" s="7"/>
      <c r="J125" s="7"/>
      <c r="K125" s="7"/>
      <c r="L125" s="7"/>
      <c r="M125" s="7"/>
      <c r="N125" s="7"/>
      <c r="O125" s="7"/>
      <c r="P125" s="7"/>
      <c r="Q125" s="7"/>
      <c r="R125" s="7"/>
      <c r="S125" s="7"/>
      <c r="T125" s="7"/>
      <c r="U125" s="7"/>
      <c r="V125" s="7"/>
      <c r="W125" s="7"/>
      <c r="X125" s="7"/>
      <c r="Y125" s="7"/>
      <c r="Z125" s="7"/>
    </row>
    <row r="126" spans="1:26" x14ac:dyDescent="0.35">
      <c r="A126" s="7"/>
      <c r="B126" s="7"/>
      <c r="C126" s="1404"/>
      <c r="D126" s="17"/>
      <c r="E126" s="7"/>
      <c r="F126" s="1393"/>
      <c r="G126" s="7"/>
      <c r="H126" s="7"/>
      <c r="I126" s="7"/>
      <c r="J126" s="7"/>
      <c r="K126" s="7"/>
      <c r="L126" s="7"/>
      <c r="M126" s="7"/>
      <c r="N126" s="7"/>
      <c r="O126" s="7"/>
      <c r="P126" s="7"/>
      <c r="Q126" s="7"/>
      <c r="R126" s="7"/>
      <c r="S126" s="7"/>
      <c r="T126" s="7"/>
      <c r="U126" s="7"/>
      <c r="V126" s="7"/>
      <c r="W126" s="7"/>
      <c r="X126" s="7"/>
      <c r="Y126" s="7"/>
      <c r="Z126" s="7"/>
    </row>
    <row r="127" spans="1:26" x14ac:dyDescent="0.35">
      <c r="A127" s="7"/>
      <c r="B127" s="7"/>
      <c r="C127" s="1404"/>
      <c r="D127" s="17"/>
      <c r="E127" s="7"/>
      <c r="F127" s="1393"/>
      <c r="G127" s="7"/>
      <c r="H127" s="7"/>
      <c r="I127" s="7"/>
      <c r="J127" s="7"/>
      <c r="K127" s="7"/>
      <c r="L127" s="7"/>
      <c r="M127" s="7"/>
      <c r="N127" s="7"/>
      <c r="O127" s="7"/>
      <c r="P127" s="7"/>
      <c r="Q127" s="7"/>
      <c r="R127" s="7"/>
      <c r="S127" s="7"/>
      <c r="T127" s="7"/>
      <c r="U127" s="7"/>
      <c r="V127" s="7"/>
      <c r="W127" s="7"/>
      <c r="X127" s="7"/>
      <c r="Y127" s="7"/>
      <c r="Z127" s="7"/>
    </row>
    <row r="128" spans="1:26" x14ac:dyDescent="0.35">
      <c r="A128" s="7"/>
      <c r="B128" s="7"/>
      <c r="C128" s="1404"/>
      <c r="D128" s="17"/>
      <c r="E128" s="7"/>
      <c r="F128" s="1393"/>
      <c r="G128" s="7"/>
      <c r="H128" s="7"/>
      <c r="I128" s="7"/>
      <c r="J128" s="7"/>
      <c r="K128" s="7"/>
      <c r="L128" s="7"/>
      <c r="M128" s="7"/>
      <c r="N128" s="7"/>
      <c r="O128" s="7"/>
      <c r="P128" s="7"/>
      <c r="Q128" s="7"/>
      <c r="R128" s="7"/>
      <c r="S128" s="7"/>
      <c r="T128" s="7"/>
      <c r="U128" s="7"/>
      <c r="V128" s="7"/>
      <c r="W128" s="7"/>
      <c r="X128" s="7"/>
      <c r="Y128" s="7"/>
      <c r="Z128" s="7"/>
    </row>
    <row r="129" spans="1:26" x14ac:dyDescent="0.35">
      <c r="A129" s="7"/>
      <c r="B129" s="7"/>
      <c r="C129" s="1404"/>
      <c r="D129" s="17"/>
      <c r="E129" s="7"/>
      <c r="F129" s="1393"/>
      <c r="G129" s="7"/>
      <c r="H129" s="7"/>
      <c r="I129" s="7"/>
      <c r="J129" s="7"/>
      <c r="K129" s="7"/>
      <c r="L129" s="7"/>
      <c r="M129" s="7"/>
      <c r="N129" s="7"/>
      <c r="O129" s="7"/>
      <c r="P129" s="7"/>
      <c r="Q129" s="7"/>
      <c r="R129" s="7"/>
      <c r="S129" s="7"/>
      <c r="T129" s="7"/>
      <c r="U129" s="7"/>
      <c r="V129" s="7"/>
      <c r="W129" s="7"/>
      <c r="X129" s="7"/>
      <c r="Y129" s="7"/>
      <c r="Z129" s="7"/>
    </row>
    <row r="130" spans="1:26" x14ac:dyDescent="0.35">
      <c r="A130" s="7"/>
      <c r="B130" s="7"/>
      <c r="C130" s="1404"/>
      <c r="D130" s="17"/>
      <c r="E130" s="7"/>
      <c r="F130" s="1393"/>
      <c r="G130" s="7"/>
      <c r="H130" s="7"/>
      <c r="I130" s="7"/>
      <c r="J130" s="7"/>
      <c r="K130" s="7"/>
      <c r="L130" s="7"/>
      <c r="M130" s="7"/>
      <c r="N130" s="7"/>
      <c r="O130" s="7"/>
      <c r="P130" s="7"/>
      <c r="Q130" s="7"/>
      <c r="R130" s="7"/>
      <c r="S130" s="7"/>
      <c r="T130" s="7"/>
      <c r="U130" s="7"/>
      <c r="V130" s="7"/>
      <c r="W130" s="7"/>
      <c r="X130" s="7"/>
      <c r="Y130" s="7"/>
      <c r="Z130" s="7"/>
    </row>
    <row r="131" spans="1:26" x14ac:dyDescent="0.35">
      <c r="A131" s="7"/>
      <c r="B131" s="7"/>
      <c r="C131" s="1404"/>
      <c r="D131" s="17"/>
      <c r="E131" s="7"/>
      <c r="F131" s="1393"/>
      <c r="G131" s="7"/>
      <c r="H131" s="7"/>
      <c r="I131" s="7"/>
      <c r="J131" s="7"/>
      <c r="K131" s="7"/>
      <c r="L131" s="7"/>
      <c r="M131" s="7"/>
      <c r="N131" s="7"/>
      <c r="O131" s="7"/>
      <c r="P131" s="7"/>
      <c r="Q131" s="7"/>
      <c r="R131" s="7"/>
      <c r="S131" s="7"/>
      <c r="T131" s="7"/>
      <c r="U131" s="7"/>
      <c r="V131" s="7"/>
      <c r="W131" s="7"/>
      <c r="X131" s="7"/>
      <c r="Y131" s="7"/>
      <c r="Z131" s="7"/>
    </row>
    <row r="132" spans="1:26" x14ac:dyDescent="0.35">
      <c r="A132" s="7"/>
      <c r="B132" s="7"/>
      <c r="C132" s="1404"/>
      <c r="D132" s="17"/>
      <c r="E132" s="7"/>
      <c r="F132" s="1393"/>
      <c r="G132" s="7"/>
      <c r="H132" s="7"/>
      <c r="I132" s="7"/>
      <c r="J132" s="7"/>
      <c r="K132" s="7"/>
      <c r="L132" s="7"/>
      <c r="M132" s="7"/>
      <c r="N132" s="7"/>
      <c r="O132" s="7"/>
      <c r="P132" s="7"/>
      <c r="Q132" s="7"/>
      <c r="R132" s="7"/>
      <c r="S132" s="7"/>
      <c r="T132" s="7"/>
      <c r="U132" s="7"/>
      <c r="V132" s="7"/>
      <c r="W132" s="7"/>
      <c r="X132" s="7"/>
      <c r="Y132" s="7"/>
      <c r="Z132" s="7"/>
    </row>
    <row r="133" spans="1:26" x14ac:dyDescent="0.35">
      <c r="A133" s="7"/>
      <c r="B133" s="7"/>
      <c r="C133" s="1404"/>
      <c r="D133" s="17"/>
      <c r="E133" s="7"/>
      <c r="F133" s="1393"/>
      <c r="G133" s="7"/>
      <c r="H133" s="7"/>
      <c r="I133" s="7"/>
      <c r="J133" s="7"/>
      <c r="K133" s="7"/>
      <c r="L133" s="7"/>
      <c r="M133" s="7"/>
      <c r="N133" s="7"/>
      <c r="O133" s="7"/>
      <c r="P133" s="7"/>
      <c r="Q133" s="7"/>
      <c r="R133" s="7"/>
      <c r="S133" s="7"/>
      <c r="T133" s="7"/>
      <c r="U133" s="7"/>
      <c r="V133" s="7"/>
      <c r="W133" s="7"/>
      <c r="X133" s="7"/>
      <c r="Y133" s="7"/>
      <c r="Z133" s="7"/>
    </row>
    <row r="134" spans="1:26" x14ac:dyDescent="0.35">
      <c r="A134" s="7"/>
      <c r="B134" s="7"/>
      <c r="C134" s="1404"/>
      <c r="D134" s="17"/>
      <c r="E134" s="7"/>
      <c r="F134" s="1393"/>
      <c r="G134" s="7"/>
      <c r="H134" s="7"/>
      <c r="I134" s="7"/>
      <c r="J134" s="7"/>
      <c r="K134" s="7"/>
      <c r="L134" s="7"/>
      <c r="M134" s="7"/>
      <c r="N134" s="7"/>
      <c r="O134" s="7"/>
      <c r="P134" s="7"/>
      <c r="Q134" s="7"/>
      <c r="R134" s="7"/>
      <c r="S134" s="7"/>
      <c r="T134" s="7"/>
      <c r="U134" s="7"/>
      <c r="V134" s="7"/>
      <c r="W134" s="7"/>
      <c r="X134" s="7"/>
      <c r="Y134" s="7"/>
      <c r="Z134" s="7"/>
    </row>
    <row r="135" spans="1:26" x14ac:dyDescent="0.35">
      <c r="A135" s="7"/>
      <c r="B135" s="7"/>
      <c r="C135" s="1404"/>
      <c r="D135" s="17"/>
      <c r="E135" s="7"/>
      <c r="F135" s="1393"/>
      <c r="G135" s="7"/>
      <c r="H135" s="7"/>
      <c r="I135" s="7"/>
      <c r="J135" s="7"/>
      <c r="K135" s="7"/>
      <c r="L135" s="7"/>
      <c r="M135" s="7"/>
      <c r="N135" s="7"/>
      <c r="O135" s="7"/>
      <c r="P135" s="7"/>
      <c r="Q135" s="7"/>
      <c r="R135" s="7"/>
      <c r="S135" s="7"/>
      <c r="T135" s="7"/>
      <c r="U135" s="7"/>
      <c r="V135" s="7"/>
      <c r="W135" s="7"/>
      <c r="X135" s="7"/>
      <c r="Y135" s="7"/>
      <c r="Z135" s="7"/>
    </row>
    <row r="136" spans="1:26" x14ac:dyDescent="0.35">
      <c r="A136" s="7"/>
      <c r="B136" s="7"/>
      <c r="C136" s="1404"/>
      <c r="D136" s="17"/>
      <c r="E136" s="7"/>
      <c r="F136" s="1393"/>
      <c r="G136" s="7"/>
      <c r="H136" s="7"/>
      <c r="I136" s="7"/>
      <c r="J136" s="7"/>
      <c r="K136" s="7"/>
      <c r="L136" s="7"/>
      <c r="M136" s="7"/>
      <c r="N136" s="7"/>
      <c r="O136" s="7"/>
      <c r="P136" s="7"/>
      <c r="Q136" s="7"/>
      <c r="R136" s="7"/>
      <c r="S136" s="7"/>
      <c r="T136" s="7"/>
      <c r="U136" s="7"/>
      <c r="V136" s="7"/>
      <c r="W136" s="7"/>
      <c r="X136" s="7"/>
      <c r="Y136" s="7"/>
      <c r="Z136" s="7"/>
    </row>
    <row r="137" spans="1:26" x14ac:dyDescent="0.35">
      <c r="A137" s="7"/>
      <c r="B137" s="7"/>
      <c r="C137" s="1404"/>
      <c r="D137" s="17"/>
      <c r="E137" s="7"/>
      <c r="F137" s="1393"/>
      <c r="G137" s="7"/>
      <c r="H137" s="7"/>
      <c r="I137" s="7"/>
      <c r="J137" s="7"/>
      <c r="K137" s="7"/>
      <c r="L137" s="7"/>
      <c r="M137" s="7"/>
      <c r="N137" s="7"/>
      <c r="O137" s="7"/>
      <c r="P137" s="7"/>
      <c r="Q137" s="7"/>
      <c r="R137" s="7"/>
      <c r="S137" s="7"/>
      <c r="T137" s="7"/>
      <c r="U137" s="7"/>
      <c r="V137" s="7"/>
      <c r="W137" s="7"/>
      <c r="X137" s="7"/>
      <c r="Y137" s="7"/>
      <c r="Z137" s="7"/>
    </row>
    <row r="138" spans="1:26" x14ac:dyDescent="0.35">
      <c r="A138" s="7"/>
      <c r="B138" s="7"/>
      <c r="C138" s="1404"/>
      <c r="D138" s="17"/>
      <c r="E138" s="7"/>
      <c r="F138" s="1393"/>
      <c r="G138" s="7"/>
      <c r="H138" s="7"/>
      <c r="I138" s="7"/>
      <c r="J138" s="7"/>
      <c r="K138" s="7"/>
      <c r="L138" s="7"/>
      <c r="M138" s="7"/>
      <c r="N138" s="7"/>
      <c r="O138" s="7"/>
      <c r="P138" s="7"/>
      <c r="Q138" s="7"/>
      <c r="R138" s="7"/>
      <c r="S138" s="7"/>
      <c r="T138" s="7"/>
      <c r="U138" s="7"/>
      <c r="V138" s="7"/>
      <c r="W138" s="7"/>
      <c r="X138" s="7"/>
      <c r="Y138" s="7"/>
      <c r="Z138" s="7"/>
    </row>
    <row r="139" spans="1:26" x14ac:dyDescent="0.35">
      <c r="A139" s="7"/>
      <c r="B139" s="7"/>
      <c r="C139" s="1404"/>
      <c r="D139" s="17"/>
      <c r="E139" s="7"/>
      <c r="F139" s="1393"/>
      <c r="G139" s="7"/>
      <c r="H139" s="7"/>
      <c r="I139" s="7"/>
      <c r="J139" s="7"/>
      <c r="K139" s="7"/>
      <c r="L139" s="7"/>
      <c r="M139" s="7"/>
      <c r="N139" s="7"/>
      <c r="O139" s="7"/>
      <c r="P139" s="7"/>
      <c r="Q139" s="7"/>
      <c r="R139" s="7"/>
      <c r="S139" s="7"/>
      <c r="T139" s="7"/>
      <c r="U139" s="7"/>
      <c r="V139" s="7"/>
      <c r="W139" s="7"/>
      <c r="X139" s="7"/>
      <c r="Y139" s="7"/>
      <c r="Z139" s="7"/>
    </row>
    <row r="140" spans="1:26" x14ac:dyDescent="0.35">
      <c r="A140" s="7"/>
      <c r="B140" s="7"/>
      <c r="C140" s="1404"/>
      <c r="D140" s="17"/>
      <c r="E140" s="7"/>
      <c r="F140" s="1393"/>
      <c r="G140" s="7"/>
      <c r="H140" s="7"/>
      <c r="I140" s="7"/>
      <c r="J140" s="7"/>
      <c r="K140" s="7"/>
      <c r="L140" s="7"/>
      <c r="M140" s="7"/>
      <c r="N140" s="7"/>
      <c r="O140" s="7"/>
      <c r="P140" s="7"/>
      <c r="Q140" s="7"/>
      <c r="R140" s="7"/>
      <c r="S140" s="7"/>
      <c r="T140" s="7"/>
      <c r="U140" s="7"/>
      <c r="V140" s="7"/>
      <c r="W140" s="7"/>
      <c r="X140" s="7"/>
      <c r="Y140" s="7"/>
      <c r="Z140" s="7"/>
    </row>
    <row r="141" spans="1:26" x14ac:dyDescent="0.35">
      <c r="A141" s="7"/>
      <c r="B141" s="7"/>
      <c r="C141" s="1404"/>
      <c r="D141" s="17"/>
      <c r="E141" s="7"/>
      <c r="F141" s="1393"/>
      <c r="G141" s="7"/>
      <c r="H141" s="7"/>
      <c r="I141" s="7"/>
      <c r="J141" s="7"/>
      <c r="K141" s="7"/>
      <c r="L141" s="7"/>
      <c r="M141" s="7"/>
      <c r="N141" s="7"/>
      <c r="O141" s="7"/>
      <c r="P141" s="7"/>
      <c r="Q141" s="7"/>
      <c r="R141" s="7"/>
      <c r="S141" s="7"/>
      <c r="T141" s="7"/>
      <c r="U141" s="7"/>
      <c r="V141" s="7"/>
      <c r="W141" s="7"/>
      <c r="X141" s="7"/>
      <c r="Y141" s="7"/>
      <c r="Z141" s="7"/>
    </row>
    <row r="142" spans="1:26" x14ac:dyDescent="0.35">
      <c r="A142" s="7"/>
      <c r="B142" s="7"/>
      <c r="C142" s="1404"/>
      <c r="D142" s="17"/>
      <c r="E142" s="7"/>
      <c r="F142" s="1393"/>
      <c r="G142" s="7"/>
      <c r="H142" s="7"/>
      <c r="I142" s="7"/>
      <c r="J142" s="7"/>
      <c r="K142" s="7"/>
      <c r="L142" s="7"/>
      <c r="M142" s="7"/>
      <c r="N142" s="7"/>
      <c r="O142" s="7"/>
      <c r="P142" s="7"/>
      <c r="Q142" s="7"/>
      <c r="R142" s="7"/>
      <c r="S142" s="7"/>
      <c r="T142" s="7"/>
      <c r="U142" s="7"/>
      <c r="V142" s="7"/>
      <c r="W142" s="7"/>
      <c r="X142" s="7"/>
      <c r="Y142" s="7"/>
      <c r="Z142" s="7"/>
    </row>
    <row r="143" spans="1:26" x14ac:dyDescent="0.35">
      <c r="A143" s="7"/>
      <c r="B143" s="7"/>
      <c r="C143" s="1404"/>
      <c r="D143" s="17"/>
      <c r="E143" s="7"/>
      <c r="F143" s="1393"/>
      <c r="G143" s="7"/>
      <c r="H143" s="7"/>
      <c r="I143" s="7"/>
      <c r="J143" s="7"/>
      <c r="K143" s="7"/>
      <c r="L143" s="7"/>
      <c r="M143" s="7"/>
      <c r="N143" s="7"/>
      <c r="O143" s="7"/>
      <c r="P143" s="7"/>
      <c r="Q143" s="7"/>
      <c r="R143" s="7"/>
      <c r="S143" s="7"/>
      <c r="T143" s="7"/>
      <c r="U143" s="7"/>
      <c r="V143" s="7"/>
      <c r="W143" s="7"/>
      <c r="X143" s="7"/>
      <c r="Y143" s="7"/>
      <c r="Z143" s="7"/>
    </row>
    <row r="144" spans="1:26" x14ac:dyDescent="0.35">
      <c r="A144" s="7"/>
      <c r="B144" s="7"/>
      <c r="C144" s="1404"/>
      <c r="D144" s="17"/>
      <c r="E144" s="7"/>
      <c r="F144" s="1393"/>
      <c r="G144" s="7"/>
      <c r="H144" s="7"/>
      <c r="I144" s="7"/>
      <c r="J144" s="7"/>
      <c r="K144" s="7"/>
      <c r="L144" s="7"/>
      <c r="M144" s="7"/>
      <c r="N144" s="7"/>
      <c r="O144" s="7"/>
      <c r="P144" s="7"/>
      <c r="Q144" s="7"/>
      <c r="R144" s="7"/>
      <c r="S144" s="7"/>
      <c r="T144" s="7"/>
      <c r="U144" s="7"/>
      <c r="V144" s="7"/>
      <c r="W144" s="7"/>
      <c r="X144" s="7"/>
      <c r="Y144" s="7"/>
      <c r="Z144" s="7"/>
    </row>
    <row r="145" spans="1:26" x14ac:dyDescent="0.35">
      <c r="A145" s="7"/>
      <c r="B145" s="7"/>
      <c r="C145" s="1404"/>
      <c r="D145" s="17"/>
      <c r="E145" s="7"/>
      <c r="F145" s="1393"/>
      <c r="G145" s="7"/>
      <c r="H145" s="7"/>
      <c r="I145" s="7"/>
      <c r="J145" s="7"/>
      <c r="K145" s="7"/>
      <c r="L145" s="7"/>
      <c r="M145" s="7"/>
      <c r="N145" s="7"/>
      <c r="O145" s="7"/>
      <c r="P145" s="7"/>
      <c r="Q145" s="7"/>
      <c r="R145" s="7"/>
      <c r="S145" s="7"/>
      <c r="T145" s="7"/>
      <c r="U145" s="7"/>
      <c r="V145" s="7"/>
      <c r="W145" s="7"/>
      <c r="X145" s="7"/>
      <c r="Y145" s="7"/>
      <c r="Z145" s="7"/>
    </row>
    <row r="146" spans="1:26" x14ac:dyDescent="0.35">
      <c r="A146" s="7"/>
      <c r="B146" s="7"/>
      <c r="C146" s="1404"/>
      <c r="D146" s="17"/>
      <c r="E146" s="7"/>
      <c r="F146" s="1393"/>
      <c r="G146" s="7"/>
      <c r="H146" s="7"/>
      <c r="I146" s="7"/>
      <c r="J146" s="7"/>
      <c r="K146" s="7"/>
      <c r="L146" s="7"/>
      <c r="M146" s="7"/>
      <c r="N146" s="7"/>
      <c r="O146" s="7"/>
      <c r="P146" s="7"/>
      <c r="Q146" s="7"/>
      <c r="R146" s="7"/>
      <c r="S146" s="7"/>
      <c r="T146" s="7"/>
      <c r="U146" s="7"/>
      <c r="V146" s="7"/>
      <c r="W146" s="7"/>
      <c r="X146" s="7"/>
      <c r="Y146" s="7"/>
      <c r="Z146" s="7"/>
    </row>
    <row r="147" spans="1:26" x14ac:dyDescent="0.35">
      <c r="A147" s="7"/>
      <c r="B147" s="7"/>
      <c r="C147" s="1404"/>
      <c r="D147" s="17"/>
      <c r="E147" s="7"/>
      <c r="F147" s="1393"/>
      <c r="G147" s="7"/>
      <c r="H147" s="7"/>
      <c r="I147" s="7"/>
      <c r="J147" s="7"/>
      <c r="K147" s="7"/>
      <c r="L147" s="7"/>
      <c r="M147" s="7"/>
      <c r="N147" s="7"/>
      <c r="O147" s="7"/>
      <c r="P147" s="7"/>
      <c r="Q147" s="7"/>
      <c r="R147" s="7"/>
      <c r="S147" s="7"/>
      <c r="T147" s="7"/>
      <c r="U147" s="7"/>
      <c r="V147" s="7"/>
      <c r="W147" s="7"/>
      <c r="X147" s="7"/>
      <c r="Y147" s="7"/>
      <c r="Z147" s="7"/>
    </row>
    <row r="148" spans="1:26" x14ac:dyDescent="0.35">
      <c r="A148" s="7"/>
      <c r="B148" s="7"/>
      <c r="C148" s="1404"/>
      <c r="D148" s="17"/>
      <c r="E148" s="7"/>
      <c r="F148" s="1393"/>
      <c r="G148" s="7"/>
      <c r="H148" s="7"/>
      <c r="I148" s="7"/>
      <c r="J148" s="7"/>
      <c r="K148" s="7"/>
      <c r="L148" s="7"/>
      <c r="M148" s="7"/>
      <c r="N148" s="7"/>
      <c r="O148" s="7"/>
      <c r="P148" s="7"/>
      <c r="Q148" s="7"/>
      <c r="R148" s="7"/>
      <c r="S148" s="7"/>
      <c r="T148" s="7"/>
      <c r="U148" s="7"/>
      <c r="V148" s="7"/>
      <c r="W148" s="7"/>
      <c r="X148" s="7"/>
      <c r="Y148" s="7"/>
      <c r="Z148" s="7"/>
    </row>
    <row r="149" spans="1:26" x14ac:dyDescent="0.35">
      <c r="A149" s="7"/>
      <c r="B149" s="7"/>
      <c r="C149" s="1404"/>
      <c r="D149" s="17"/>
      <c r="E149" s="7"/>
      <c r="F149" s="1393"/>
      <c r="G149" s="7"/>
      <c r="H149" s="7"/>
      <c r="I149" s="7"/>
      <c r="J149" s="7"/>
      <c r="K149" s="7"/>
      <c r="L149" s="7"/>
      <c r="M149" s="7"/>
      <c r="N149" s="7"/>
      <c r="O149" s="7"/>
      <c r="P149" s="7"/>
      <c r="Q149" s="7"/>
      <c r="R149" s="7"/>
      <c r="S149" s="7"/>
      <c r="T149" s="7"/>
      <c r="U149" s="7"/>
      <c r="V149" s="7"/>
      <c r="W149" s="7"/>
      <c r="X149" s="7"/>
      <c r="Y149" s="7"/>
      <c r="Z149" s="7"/>
    </row>
    <row r="150" spans="1:26" x14ac:dyDescent="0.35">
      <c r="A150" s="7"/>
      <c r="B150" s="7"/>
      <c r="C150" s="1404"/>
      <c r="D150" s="17"/>
      <c r="E150" s="7"/>
      <c r="F150" s="1393"/>
      <c r="G150" s="7"/>
      <c r="H150" s="7"/>
      <c r="I150" s="7"/>
      <c r="J150" s="7"/>
      <c r="K150" s="7"/>
      <c r="L150" s="7"/>
      <c r="M150" s="7"/>
      <c r="N150" s="7"/>
      <c r="O150" s="7"/>
      <c r="P150" s="7"/>
      <c r="Q150" s="7"/>
      <c r="R150" s="7"/>
      <c r="S150" s="7"/>
      <c r="T150" s="7"/>
      <c r="U150" s="7"/>
      <c r="V150" s="7"/>
      <c r="W150" s="7"/>
      <c r="X150" s="7"/>
      <c r="Y150" s="7"/>
      <c r="Z150" s="7"/>
    </row>
    <row r="151" spans="1:26" x14ac:dyDescent="0.35">
      <c r="A151" s="7"/>
      <c r="B151" s="7"/>
      <c r="C151" s="1404"/>
      <c r="D151" s="17"/>
      <c r="E151" s="7"/>
      <c r="F151" s="1393"/>
      <c r="G151" s="7"/>
      <c r="H151" s="7"/>
      <c r="I151" s="7"/>
      <c r="J151" s="7"/>
      <c r="K151" s="7"/>
      <c r="L151" s="7"/>
      <c r="M151" s="7"/>
      <c r="N151" s="7"/>
      <c r="O151" s="7"/>
      <c r="P151" s="7"/>
      <c r="Q151" s="7"/>
      <c r="R151" s="7"/>
      <c r="S151" s="7"/>
      <c r="T151" s="7"/>
      <c r="U151" s="7"/>
      <c r="V151" s="7"/>
      <c r="W151" s="7"/>
      <c r="X151" s="7"/>
      <c r="Y151" s="7"/>
      <c r="Z151" s="7"/>
    </row>
    <row r="152" spans="1:26" x14ac:dyDescent="0.35">
      <c r="A152" s="7"/>
      <c r="B152" s="7"/>
      <c r="C152" s="1404"/>
      <c r="D152" s="17"/>
      <c r="E152" s="7"/>
      <c r="F152" s="1393"/>
      <c r="G152" s="7"/>
      <c r="H152" s="7"/>
      <c r="I152" s="7"/>
      <c r="J152" s="7"/>
      <c r="K152" s="7"/>
      <c r="L152" s="7"/>
      <c r="M152" s="7"/>
      <c r="N152" s="7"/>
      <c r="O152" s="7"/>
      <c r="P152" s="7"/>
      <c r="Q152" s="7"/>
      <c r="R152" s="7"/>
      <c r="S152" s="7"/>
      <c r="T152" s="7"/>
      <c r="U152" s="7"/>
      <c r="V152" s="7"/>
      <c r="W152" s="7"/>
      <c r="X152" s="7"/>
      <c r="Y152" s="7"/>
      <c r="Z152" s="7"/>
    </row>
    <row r="153" spans="1:26" x14ac:dyDescent="0.35">
      <c r="A153" s="7"/>
      <c r="B153" s="7"/>
      <c r="C153" s="1404"/>
      <c r="D153" s="17"/>
      <c r="E153" s="7"/>
      <c r="F153" s="1393"/>
      <c r="G153" s="7"/>
      <c r="H153" s="7"/>
      <c r="I153" s="7"/>
      <c r="J153" s="7"/>
      <c r="K153" s="7"/>
      <c r="L153" s="7"/>
      <c r="M153" s="7"/>
      <c r="N153" s="7"/>
      <c r="O153" s="7"/>
      <c r="P153" s="7"/>
      <c r="Q153" s="7"/>
      <c r="R153" s="7"/>
      <c r="S153" s="7"/>
      <c r="T153" s="7"/>
      <c r="U153" s="7"/>
      <c r="V153" s="7"/>
      <c r="W153" s="7"/>
      <c r="X153" s="7"/>
      <c r="Y153" s="7"/>
      <c r="Z153" s="7"/>
    </row>
    <row r="154" spans="1:26" x14ac:dyDescent="0.35">
      <c r="A154" s="7"/>
      <c r="B154" s="7"/>
      <c r="C154" s="1404"/>
      <c r="D154" s="17"/>
      <c r="E154" s="7"/>
      <c r="F154" s="1393"/>
      <c r="G154" s="7"/>
      <c r="H154" s="7"/>
      <c r="I154" s="7"/>
      <c r="J154" s="7"/>
      <c r="K154" s="7"/>
      <c r="L154" s="7"/>
      <c r="M154" s="7"/>
      <c r="N154" s="7"/>
      <c r="O154" s="7"/>
      <c r="P154" s="7"/>
      <c r="Q154" s="7"/>
      <c r="R154" s="7"/>
      <c r="S154" s="7"/>
      <c r="T154" s="7"/>
      <c r="U154" s="7"/>
      <c r="V154" s="7"/>
      <c r="W154" s="7"/>
      <c r="X154" s="7"/>
      <c r="Y154" s="7"/>
      <c r="Z154" s="7"/>
    </row>
    <row r="155" spans="1:26" x14ac:dyDescent="0.35">
      <c r="A155" s="7"/>
      <c r="B155" s="7"/>
      <c r="C155" s="1404"/>
      <c r="D155" s="17"/>
      <c r="E155" s="7"/>
      <c r="F155" s="1393"/>
      <c r="G155" s="7"/>
      <c r="H155" s="7"/>
      <c r="I155" s="7"/>
      <c r="J155" s="7"/>
      <c r="K155" s="7"/>
      <c r="L155" s="7"/>
      <c r="M155" s="7"/>
      <c r="N155" s="7"/>
      <c r="O155" s="7"/>
      <c r="P155" s="7"/>
      <c r="Q155" s="7"/>
      <c r="R155" s="7"/>
      <c r="S155" s="7"/>
      <c r="T155" s="7"/>
      <c r="U155" s="7"/>
      <c r="V155" s="7"/>
      <c r="W155" s="7"/>
      <c r="X155" s="7"/>
      <c r="Y155" s="7"/>
      <c r="Z155" s="7"/>
    </row>
    <row r="156" spans="1:26" x14ac:dyDescent="0.35">
      <c r="A156" s="7"/>
      <c r="B156" s="7"/>
      <c r="C156" s="1404"/>
      <c r="D156" s="17"/>
      <c r="E156" s="7"/>
      <c r="F156" s="1393"/>
      <c r="G156" s="7"/>
      <c r="H156" s="7"/>
      <c r="I156" s="7"/>
      <c r="J156" s="7"/>
      <c r="K156" s="7"/>
      <c r="L156" s="7"/>
      <c r="M156" s="7"/>
      <c r="N156" s="7"/>
      <c r="O156" s="7"/>
      <c r="P156" s="7"/>
      <c r="Q156" s="7"/>
      <c r="R156" s="7"/>
      <c r="S156" s="7"/>
      <c r="T156" s="7"/>
      <c r="U156" s="7"/>
      <c r="V156" s="7"/>
      <c r="W156" s="7"/>
      <c r="X156" s="7"/>
      <c r="Y156" s="7"/>
      <c r="Z156" s="7"/>
    </row>
    <row r="157" spans="1:26" x14ac:dyDescent="0.35">
      <c r="A157" s="7"/>
      <c r="B157" s="7"/>
      <c r="C157" s="1404"/>
      <c r="D157" s="17"/>
      <c r="E157" s="7"/>
      <c r="F157" s="1393"/>
      <c r="G157" s="7"/>
      <c r="H157" s="7"/>
      <c r="I157" s="7"/>
      <c r="J157" s="7"/>
      <c r="K157" s="7"/>
      <c r="L157" s="7"/>
      <c r="M157" s="7"/>
      <c r="N157" s="7"/>
      <c r="O157" s="7"/>
      <c r="P157" s="7"/>
      <c r="Q157" s="7"/>
      <c r="R157" s="7"/>
      <c r="S157" s="7"/>
      <c r="T157" s="7"/>
      <c r="U157" s="7"/>
      <c r="V157" s="7"/>
      <c r="W157" s="7"/>
      <c r="X157" s="7"/>
      <c r="Y157" s="7"/>
      <c r="Z157" s="7"/>
    </row>
    <row r="158" spans="1:26" x14ac:dyDescent="0.35">
      <c r="A158" s="7"/>
      <c r="B158" s="7"/>
      <c r="C158" s="1404"/>
      <c r="D158" s="17"/>
      <c r="E158" s="7"/>
      <c r="F158" s="1393"/>
      <c r="G158" s="7"/>
      <c r="H158" s="7"/>
      <c r="I158" s="7"/>
      <c r="J158" s="7"/>
      <c r="K158" s="7"/>
      <c r="L158" s="7"/>
      <c r="M158" s="7"/>
      <c r="N158" s="7"/>
      <c r="O158" s="7"/>
      <c r="P158" s="7"/>
      <c r="Q158" s="7"/>
      <c r="R158" s="7"/>
      <c r="S158" s="7"/>
      <c r="T158" s="7"/>
      <c r="U158" s="7"/>
      <c r="V158" s="7"/>
      <c r="W158" s="7"/>
      <c r="X158" s="7"/>
      <c r="Y158" s="7"/>
      <c r="Z158" s="7"/>
    </row>
    <row r="159" spans="1:26" x14ac:dyDescent="0.35">
      <c r="A159" s="7"/>
      <c r="B159" s="7"/>
      <c r="C159" s="1404"/>
      <c r="D159" s="17"/>
      <c r="E159" s="7"/>
      <c r="F159" s="1393"/>
      <c r="G159" s="7"/>
      <c r="H159" s="7"/>
      <c r="I159" s="7"/>
      <c r="J159" s="7"/>
      <c r="K159" s="7"/>
      <c r="L159" s="7"/>
      <c r="M159" s="7"/>
      <c r="N159" s="7"/>
      <c r="O159" s="7"/>
      <c r="P159" s="7"/>
      <c r="Q159" s="7"/>
      <c r="R159" s="7"/>
      <c r="S159" s="7"/>
      <c r="T159" s="7"/>
      <c r="U159" s="7"/>
      <c r="V159" s="7"/>
      <c r="W159" s="7"/>
      <c r="X159" s="7"/>
      <c r="Y159" s="7"/>
      <c r="Z159" s="7"/>
    </row>
    <row r="160" spans="1:26" x14ac:dyDescent="0.35">
      <c r="A160" s="7"/>
      <c r="B160" s="7"/>
      <c r="C160" s="1404"/>
      <c r="D160" s="17"/>
      <c r="E160" s="7"/>
      <c r="F160" s="1393"/>
      <c r="G160" s="7"/>
      <c r="H160" s="7"/>
      <c r="I160" s="7"/>
      <c r="J160" s="7"/>
      <c r="K160" s="7"/>
      <c r="L160" s="7"/>
      <c r="M160" s="7"/>
      <c r="N160" s="7"/>
      <c r="O160" s="7"/>
      <c r="P160" s="7"/>
      <c r="Q160" s="7"/>
      <c r="R160" s="7"/>
      <c r="S160" s="7"/>
      <c r="T160" s="7"/>
      <c r="U160" s="7"/>
      <c r="V160" s="7"/>
      <c r="W160" s="7"/>
      <c r="X160" s="7"/>
      <c r="Y160" s="7"/>
      <c r="Z160" s="7"/>
    </row>
    <row r="161" spans="1:26" x14ac:dyDescent="0.35">
      <c r="A161" s="7"/>
      <c r="B161" s="7"/>
      <c r="C161" s="1404"/>
      <c r="D161" s="17"/>
      <c r="E161" s="7"/>
      <c r="F161" s="1393"/>
      <c r="G161" s="7"/>
      <c r="H161" s="7"/>
      <c r="I161" s="7"/>
      <c r="J161" s="7"/>
      <c r="K161" s="7"/>
      <c r="L161" s="7"/>
      <c r="M161" s="7"/>
      <c r="N161" s="7"/>
      <c r="O161" s="7"/>
      <c r="P161" s="7"/>
      <c r="Q161" s="7"/>
      <c r="R161" s="7"/>
      <c r="S161" s="7"/>
      <c r="T161" s="7"/>
      <c r="U161" s="7"/>
      <c r="V161" s="7"/>
      <c r="W161" s="7"/>
      <c r="X161" s="7"/>
      <c r="Y161" s="7"/>
      <c r="Z161" s="7"/>
    </row>
    <row r="162" spans="1:26" x14ac:dyDescent="0.35">
      <c r="A162" s="7"/>
      <c r="B162" s="7"/>
      <c r="C162" s="1404"/>
      <c r="D162" s="17"/>
      <c r="E162" s="7"/>
      <c r="F162" s="1393"/>
      <c r="G162" s="7"/>
      <c r="H162" s="7"/>
      <c r="I162" s="7"/>
      <c r="J162" s="7"/>
      <c r="K162" s="7"/>
      <c r="L162" s="7"/>
      <c r="M162" s="7"/>
      <c r="N162" s="7"/>
      <c r="O162" s="7"/>
      <c r="P162" s="7"/>
      <c r="Q162" s="7"/>
      <c r="R162" s="7"/>
      <c r="S162" s="7"/>
      <c r="T162" s="7"/>
      <c r="U162" s="7"/>
      <c r="V162" s="7"/>
      <c r="W162" s="7"/>
      <c r="X162" s="7"/>
      <c r="Y162" s="7"/>
      <c r="Z162" s="7"/>
    </row>
    <row r="163" spans="1:26" x14ac:dyDescent="0.35">
      <c r="A163" s="7"/>
      <c r="B163" s="7"/>
      <c r="C163" s="1404"/>
      <c r="D163" s="17"/>
      <c r="E163" s="7"/>
      <c r="F163" s="1393"/>
      <c r="G163" s="7"/>
      <c r="H163" s="7"/>
      <c r="I163" s="7"/>
      <c r="J163" s="7"/>
      <c r="K163" s="7"/>
      <c r="L163" s="7"/>
      <c r="M163" s="7"/>
      <c r="N163" s="7"/>
      <c r="O163" s="7"/>
      <c r="P163" s="7"/>
      <c r="Q163" s="7"/>
      <c r="R163" s="7"/>
      <c r="S163" s="7"/>
      <c r="T163" s="7"/>
      <c r="U163" s="7"/>
      <c r="V163" s="7"/>
      <c r="W163" s="7"/>
      <c r="X163" s="7"/>
      <c r="Y163" s="7"/>
      <c r="Z163" s="7"/>
    </row>
    <row r="164" spans="1:26" x14ac:dyDescent="0.35">
      <c r="A164" s="7"/>
      <c r="B164" s="7"/>
      <c r="C164" s="1404"/>
      <c r="D164" s="17"/>
      <c r="E164" s="7"/>
      <c r="F164" s="1393"/>
      <c r="G164" s="7"/>
      <c r="H164" s="7"/>
      <c r="I164" s="7"/>
      <c r="J164" s="7"/>
      <c r="K164" s="7"/>
      <c r="L164" s="7"/>
      <c r="M164" s="7"/>
      <c r="N164" s="7"/>
      <c r="O164" s="7"/>
      <c r="P164" s="7"/>
      <c r="Q164" s="7"/>
      <c r="R164" s="7"/>
      <c r="S164" s="7"/>
      <c r="T164" s="7"/>
      <c r="U164" s="7"/>
      <c r="V164" s="7"/>
      <c r="W164" s="7"/>
      <c r="X164" s="7"/>
      <c r="Y164" s="7"/>
      <c r="Z164" s="7"/>
    </row>
    <row r="165" spans="1:26" x14ac:dyDescent="0.35">
      <c r="A165" s="7"/>
      <c r="B165" s="7"/>
      <c r="C165" s="1404"/>
      <c r="D165" s="17"/>
      <c r="E165" s="7"/>
      <c r="F165" s="1393"/>
      <c r="G165" s="7"/>
      <c r="H165" s="7"/>
      <c r="I165" s="7"/>
      <c r="J165" s="7"/>
      <c r="K165" s="7"/>
      <c r="L165" s="7"/>
      <c r="M165" s="7"/>
      <c r="N165" s="7"/>
      <c r="O165" s="7"/>
      <c r="P165" s="7"/>
      <c r="Q165" s="7"/>
      <c r="R165" s="7"/>
      <c r="S165" s="7"/>
      <c r="T165" s="7"/>
      <c r="U165" s="7"/>
      <c r="V165" s="7"/>
      <c r="W165" s="7"/>
      <c r="X165" s="7"/>
      <c r="Y165" s="7"/>
      <c r="Z165" s="7"/>
    </row>
    <row r="166" spans="1:26" x14ac:dyDescent="0.35">
      <c r="A166" s="7"/>
      <c r="B166" s="7"/>
      <c r="C166" s="1404"/>
      <c r="D166" s="17"/>
      <c r="E166" s="7"/>
      <c r="F166" s="1393"/>
      <c r="G166" s="7"/>
      <c r="H166" s="7"/>
      <c r="I166" s="7"/>
      <c r="J166" s="7"/>
      <c r="K166" s="7"/>
      <c r="L166" s="7"/>
      <c r="M166" s="7"/>
      <c r="N166" s="7"/>
      <c r="O166" s="7"/>
      <c r="P166" s="7"/>
      <c r="Q166" s="7"/>
      <c r="R166" s="7"/>
      <c r="S166" s="7"/>
      <c r="T166" s="7"/>
      <c r="U166" s="7"/>
      <c r="V166" s="7"/>
      <c r="W166" s="7"/>
      <c r="X166" s="7"/>
      <c r="Y166" s="7"/>
      <c r="Z166" s="7"/>
    </row>
    <row r="167" spans="1:26" x14ac:dyDescent="0.35">
      <c r="A167" s="7"/>
      <c r="B167" s="7"/>
      <c r="C167" s="1404"/>
      <c r="D167" s="17"/>
      <c r="E167" s="7"/>
      <c r="F167" s="1393"/>
      <c r="G167" s="7"/>
      <c r="H167" s="7"/>
      <c r="I167" s="7"/>
      <c r="J167" s="7"/>
      <c r="K167" s="7"/>
      <c r="L167" s="7"/>
      <c r="M167" s="7"/>
      <c r="N167" s="7"/>
      <c r="O167" s="7"/>
      <c r="P167" s="7"/>
      <c r="Q167" s="7"/>
      <c r="R167" s="7"/>
      <c r="S167" s="7"/>
      <c r="T167" s="7"/>
      <c r="U167" s="7"/>
      <c r="V167" s="7"/>
      <c r="W167" s="7"/>
      <c r="X167" s="7"/>
      <c r="Y167" s="7"/>
      <c r="Z167" s="7"/>
    </row>
    <row r="168" spans="1:26" x14ac:dyDescent="0.35">
      <c r="A168" s="7"/>
      <c r="B168" s="7"/>
      <c r="C168" s="1404"/>
      <c r="D168" s="17"/>
      <c r="E168" s="7"/>
      <c r="F168" s="1393"/>
      <c r="G168" s="7"/>
      <c r="H168" s="7"/>
      <c r="I168" s="7"/>
      <c r="J168" s="7"/>
      <c r="K168" s="7"/>
      <c r="L168" s="7"/>
      <c r="M168" s="7"/>
      <c r="N168" s="7"/>
      <c r="O168" s="7"/>
      <c r="P168" s="7"/>
      <c r="Q168" s="7"/>
      <c r="R168" s="7"/>
      <c r="S168" s="7"/>
      <c r="T168" s="7"/>
      <c r="U168" s="7"/>
      <c r="V168" s="7"/>
      <c r="W168" s="7"/>
      <c r="X168" s="7"/>
      <c r="Y168" s="7"/>
      <c r="Z168" s="7"/>
    </row>
    <row r="169" spans="1:26" x14ac:dyDescent="0.35">
      <c r="A169" s="7"/>
      <c r="B169" s="7"/>
      <c r="C169" s="1404"/>
      <c r="D169" s="17"/>
      <c r="E169" s="7"/>
      <c r="F169" s="1393"/>
      <c r="G169" s="7"/>
      <c r="H169" s="7"/>
      <c r="I169" s="7"/>
      <c r="J169" s="7"/>
      <c r="K169" s="7"/>
      <c r="L169" s="7"/>
      <c r="M169" s="7"/>
      <c r="N169" s="7"/>
      <c r="O169" s="7"/>
      <c r="P169" s="7"/>
      <c r="Q169" s="7"/>
      <c r="R169" s="7"/>
      <c r="S169" s="7"/>
      <c r="T169" s="7"/>
      <c r="U169" s="7"/>
      <c r="V169" s="7"/>
      <c r="W169" s="7"/>
      <c r="X169" s="7"/>
      <c r="Y169" s="7"/>
      <c r="Z169" s="7"/>
    </row>
    <row r="170" spans="1:26" x14ac:dyDescent="0.35">
      <c r="A170" s="7"/>
      <c r="B170" s="7"/>
      <c r="C170" s="1404"/>
      <c r="D170" s="17"/>
      <c r="E170" s="7"/>
      <c r="F170" s="1393"/>
      <c r="G170" s="7"/>
      <c r="H170" s="7"/>
      <c r="I170" s="7"/>
      <c r="J170" s="7"/>
      <c r="K170" s="7"/>
      <c r="L170" s="7"/>
      <c r="M170" s="7"/>
      <c r="N170" s="7"/>
      <c r="O170" s="7"/>
      <c r="P170" s="7"/>
      <c r="Q170" s="7"/>
      <c r="R170" s="7"/>
      <c r="S170" s="7"/>
      <c r="T170" s="7"/>
      <c r="U170" s="7"/>
      <c r="V170" s="7"/>
      <c r="W170" s="7"/>
      <c r="X170" s="7"/>
      <c r="Y170" s="7"/>
      <c r="Z170" s="7"/>
    </row>
    <row r="171" spans="1:26" x14ac:dyDescent="0.35">
      <c r="A171" s="7"/>
      <c r="B171" s="7"/>
      <c r="C171" s="1404"/>
      <c r="D171" s="17"/>
      <c r="E171" s="7"/>
      <c r="F171" s="1393"/>
      <c r="G171" s="7"/>
      <c r="H171" s="7"/>
      <c r="I171" s="7"/>
      <c r="J171" s="7"/>
      <c r="K171" s="7"/>
      <c r="L171" s="7"/>
      <c r="M171" s="7"/>
      <c r="N171" s="7"/>
      <c r="O171" s="7"/>
      <c r="P171" s="7"/>
      <c r="Q171" s="7"/>
      <c r="R171" s="7"/>
      <c r="S171" s="7"/>
      <c r="T171" s="7"/>
      <c r="U171" s="7"/>
      <c r="V171" s="7"/>
      <c r="W171" s="7"/>
      <c r="X171" s="7"/>
      <c r="Y171" s="7"/>
      <c r="Z171" s="7"/>
    </row>
    <row r="172" spans="1:26" x14ac:dyDescent="0.35">
      <c r="A172" s="7"/>
      <c r="B172" s="7"/>
      <c r="C172" s="1404"/>
      <c r="D172" s="17"/>
      <c r="E172" s="7"/>
      <c r="F172" s="1393"/>
      <c r="G172" s="7"/>
      <c r="H172" s="7"/>
      <c r="I172" s="7"/>
      <c r="J172" s="7"/>
      <c r="K172" s="7"/>
      <c r="L172" s="7"/>
      <c r="M172" s="7"/>
      <c r="N172" s="7"/>
      <c r="O172" s="7"/>
      <c r="P172" s="7"/>
      <c r="Q172" s="7"/>
      <c r="R172" s="7"/>
      <c r="S172" s="7"/>
      <c r="T172" s="7"/>
      <c r="U172" s="7"/>
      <c r="V172" s="7"/>
      <c r="W172" s="7"/>
      <c r="X172" s="7"/>
      <c r="Y172" s="7"/>
      <c r="Z172" s="7"/>
    </row>
    <row r="173" spans="1:26" x14ac:dyDescent="0.35">
      <c r="A173" s="7"/>
      <c r="B173" s="7"/>
      <c r="C173" s="1404"/>
      <c r="D173" s="17"/>
      <c r="E173" s="7"/>
      <c r="F173" s="1393"/>
      <c r="G173" s="7"/>
      <c r="H173" s="7"/>
      <c r="I173" s="7"/>
      <c r="J173" s="7"/>
      <c r="K173" s="7"/>
      <c r="L173" s="7"/>
      <c r="M173" s="7"/>
      <c r="N173" s="7"/>
      <c r="O173" s="7"/>
      <c r="P173" s="7"/>
      <c r="Q173" s="7"/>
      <c r="R173" s="7"/>
      <c r="S173" s="7"/>
      <c r="T173" s="7"/>
      <c r="U173" s="7"/>
      <c r="V173" s="7"/>
      <c r="W173" s="7"/>
      <c r="X173" s="7"/>
      <c r="Y173" s="7"/>
      <c r="Z173" s="7"/>
    </row>
    <row r="174" spans="1:26" x14ac:dyDescent="0.35">
      <c r="A174" s="7"/>
      <c r="B174" s="7"/>
      <c r="C174" s="1404"/>
      <c r="D174" s="17"/>
      <c r="E174" s="7"/>
      <c r="F174" s="1393"/>
      <c r="G174" s="7"/>
      <c r="H174" s="7"/>
      <c r="I174" s="7"/>
      <c r="J174" s="7"/>
      <c r="K174" s="7"/>
      <c r="L174" s="7"/>
      <c r="M174" s="7"/>
      <c r="N174" s="7"/>
      <c r="O174" s="7"/>
      <c r="P174" s="7"/>
      <c r="Q174" s="7"/>
      <c r="R174" s="7"/>
      <c r="S174" s="7"/>
      <c r="T174" s="7"/>
      <c r="U174" s="7"/>
      <c r="V174" s="7"/>
      <c r="W174" s="7"/>
      <c r="X174" s="7"/>
      <c r="Y174" s="7"/>
      <c r="Z174" s="7"/>
    </row>
    <row r="175" spans="1:26" x14ac:dyDescent="0.35">
      <c r="A175" s="7"/>
      <c r="B175" s="7"/>
      <c r="C175" s="1404"/>
      <c r="D175" s="17"/>
      <c r="E175" s="7"/>
      <c r="F175" s="1393"/>
      <c r="G175" s="7"/>
      <c r="H175" s="7"/>
      <c r="I175" s="7"/>
      <c r="J175" s="7"/>
      <c r="K175" s="7"/>
      <c r="L175" s="7"/>
      <c r="M175" s="7"/>
      <c r="N175" s="7"/>
      <c r="O175" s="7"/>
      <c r="P175" s="7"/>
      <c r="Q175" s="7"/>
      <c r="R175" s="7"/>
      <c r="S175" s="7"/>
      <c r="T175" s="7"/>
      <c r="U175" s="7"/>
      <c r="V175" s="7"/>
      <c r="W175" s="7"/>
      <c r="X175" s="7"/>
      <c r="Y175" s="7"/>
      <c r="Z175" s="7"/>
    </row>
    <row r="176" spans="1:26" x14ac:dyDescent="0.35">
      <c r="A176" s="7"/>
      <c r="B176" s="7"/>
      <c r="C176" s="1404"/>
      <c r="D176" s="17"/>
      <c r="E176" s="7"/>
      <c r="F176" s="1393"/>
      <c r="G176" s="7"/>
      <c r="H176" s="7"/>
      <c r="I176" s="7"/>
      <c r="J176" s="7"/>
      <c r="K176" s="7"/>
      <c r="L176" s="7"/>
      <c r="M176" s="7"/>
      <c r="N176" s="7"/>
      <c r="O176" s="7"/>
      <c r="P176" s="7"/>
      <c r="Q176" s="7"/>
      <c r="R176" s="7"/>
      <c r="S176" s="7"/>
      <c r="T176" s="7"/>
      <c r="U176" s="7"/>
      <c r="V176" s="7"/>
      <c r="W176" s="7"/>
      <c r="X176" s="7"/>
      <c r="Y176" s="7"/>
      <c r="Z176" s="7"/>
    </row>
    <row r="177" spans="1:26" x14ac:dyDescent="0.35">
      <c r="A177" s="7"/>
      <c r="B177" s="7"/>
      <c r="C177" s="1404"/>
      <c r="D177" s="17"/>
      <c r="E177" s="7"/>
      <c r="F177" s="1393"/>
      <c r="G177" s="7"/>
      <c r="H177" s="7"/>
      <c r="I177" s="7"/>
      <c r="J177" s="7"/>
      <c r="K177" s="7"/>
      <c r="L177" s="7"/>
      <c r="M177" s="7"/>
      <c r="N177" s="7"/>
      <c r="O177" s="7"/>
      <c r="P177" s="7"/>
      <c r="Q177" s="7"/>
      <c r="R177" s="7"/>
      <c r="S177" s="7"/>
      <c r="T177" s="7"/>
      <c r="U177" s="7"/>
      <c r="V177" s="7"/>
      <c r="W177" s="7"/>
      <c r="X177" s="7"/>
      <c r="Y177" s="7"/>
      <c r="Z177" s="7"/>
    </row>
    <row r="178" spans="1:26" x14ac:dyDescent="0.35">
      <c r="A178" s="7"/>
      <c r="B178" s="7"/>
      <c r="C178" s="1404"/>
      <c r="D178" s="17"/>
      <c r="E178" s="7"/>
      <c r="F178" s="1393"/>
      <c r="G178" s="7"/>
      <c r="H178" s="7"/>
      <c r="I178" s="7"/>
      <c r="J178" s="7"/>
      <c r="K178" s="7"/>
      <c r="L178" s="7"/>
      <c r="M178" s="7"/>
      <c r="N178" s="7"/>
      <c r="O178" s="7"/>
      <c r="P178" s="7"/>
      <c r="Q178" s="7"/>
      <c r="R178" s="7"/>
      <c r="S178" s="7"/>
      <c r="T178" s="7"/>
      <c r="U178" s="7"/>
      <c r="V178" s="7"/>
      <c r="W178" s="7"/>
      <c r="X178" s="7"/>
      <c r="Y178" s="7"/>
      <c r="Z178" s="7"/>
    </row>
    <row r="179" spans="1:26" x14ac:dyDescent="0.35">
      <c r="A179" s="7"/>
      <c r="B179" s="7"/>
      <c r="C179" s="1404"/>
      <c r="D179" s="17"/>
      <c r="E179" s="7"/>
      <c r="F179" s="1393"/>
      <c r="G179" s="7"/>
      <c r="H179" s="7"/>
      <c r="I179" s="7"/>
      <c r="J179" s="7"/>
      <c r="K179" s="7"/>
      <c r="L179" s="7"/>
      <c r="M179" s="7"/>
      <c r="N179" s="7"/>
      <c r="O179" s="7"/>
      <c r="P179" s="7"/>
      <c r="Q179" s="7"/>
      <c r="R179" s="7"/>
      <c r="S179" s="7"/>
      <c r="T179" s="7"/>
      <c r="U179" s="7"/>
      <c r="V179" s="7"/>
      <c r="W179" s="7"/>
      <c r="X179" s="7"/>
      <c r="Y179" s="7"/>
      <c r="Z179" s="7"/>
    </row>
    <row r="180" spans="1:26" x14ac:dyDescent="0.35">
      <c r="A180" s="7"/>
      <c r="B180" s="7"/>
      <c r="C180" s="1404"/>
      <c r="D180" s="17"/>
      <c r="E180" s="7"/>
      <c r="F180" s="1393"/>
      <c r="G180" s="7"/>
      <c r="H180" s="7"/>
      <c r="I180" s="7"/>
      <c r="J180" s="7"/>
      <c r="K180" s="7"/>
      <c r="L180" s="7"/>
      <c r="M180" s="7"/>
      <c r="N180" s="7"/>
      <c r="O180" s="7"/>
      <c r="P180" s="7"/>
      <c r="Q180" s="7"/>
      <c r="R180" s="7"/>
      <c r="S180" s="7"/>
      <c r="T180" s="7"/>
      <c r="U180" s="7"/>
      <c r="V180" s="7"/>
      <c r="W180" s="7"/>
      <c r="X180" s="7"/>
      <c r="Y180" s="7"/>
      <c r="Z180" s="7"/>
    </row>
    <row r="181" spans="1:26" x14ac:dyDescent="0.35">
      <c r="A181" s="7"/>
      <c r="B181" s="7"/>
      <c r="C181" s="1404"/>
      <c r="D181" s="17"/>
      <c r="E181" s="7"/>
      <c r="F181" s="1393"/>
      <c r="G181" s="7"/>
      <c r="H181" s="7"/>
      <c r="I181" s="7"/>
      <c r="J181" s="7"/>
      <c r="K181" s="7"/>
      <c r="L181" s="7"/>
      <c r="M181" s="7"/>
      <c r="N181" s="7"/>
      <c r="O181" s="7"/>
      <c r="P181" s="7"/>
      <c r="Q181" s="7"/>
      <c r="R181" s="7"/>
      <c r="S181" s="7"/>
      <c r="T181" s="7"/>
      <c r="U181" s="7"/>
      <c r="V181" s="7"/>
      <c r="W181" s="7"/>
      <c r="X181" s="7"/>
      <c r="Y181" s="7"/>
      <c r="Z181" s="7"/>
    </row>
    <row r="182" spans="1:26" x14ac:dyDescent="0.35">
      <c r="A182" s="7"/>
      <c r="B182" s="7"/>
      <c r="C182" s="1404"/>
      <c r="D182" s="17"/>
      <c r="E182" s="7"/>
      <c r="F182" s="1393"/>
      <c r="G182" s="7"/>
      <c r="H182" s="7"/>
      <c r="I182" s="7"/>
      <c r="J182" s="7"/>
      <c r="K182" s="7"/>
      <c r="L182" s="7"/>
      <c r="M182" s="7"/>
      <c r="N182" s="7"/>
      <c r="O182" s="7"/>
      <c r="P182" s="7"/>
      <c r="Q182" s="7"/>
      <c r="R182" s="7"/>
      <c r="S182" s="7"/>
      <c r="T182" s="7"/>
      <c r="U182" s="7"/>
      <c r="V182" s="7"/>
      <c r="W182" s="7"/>
      <c r="X182" s="7"/>
      <c r="Y182" s="7"/>
      <c r="Z182" s="7"/>
    </row>
    <row r="183" spans="1:26" x14ac:dyDescent="0.35">
      <c r="A183" s="7"/>
      <c r="B183" s="7"/>
      <c r="C183" s="1404"/>
      <c r="D183" s="17"/>
      <c r="E183" s="7"/>
      <c r="F183" s="1393"/>
      <c r="G183" s="7"/>
      <c r="H183" s="7"/>
      <c r="I183" s="7"/>
      <c r="J183" s="7"/>
      <c r="K183" s="7"/>
      <c r="L183" s="7"/>
      <c r="M183" s="7"/>
      <c r="N183" s="7"/>
      <c r="O183" s="7"/>
      <c r="P183" s="7"/>
      <c r="Q183" s="7"/>
      <c r="R183" s="7"/>
      <c r="S183" s="7"/>
      <c r="T183" s="7"/>
      <c r="U183" s="7"/>
      <c r="V183" s="7"/>
      <c r="W183" s="7"/>
      <c r="X183" s="7"/>
      <c r="Y183" s="7"/>
      <c r="Z183" s="7"/>
    </row>
    <row r="184" spans="1:26" x14ac:dyDescent="0.35">
      <c r="A184" s="7"/>
      <c r="B184" s="7"/>
      <c r="C184" s="1404"/>
      <c r="D184" s="17"/>
      <c r="E184" s="7"/>
      <c r="F184" s="1393"/>
      <c r="G184" s="7"/>
      <c r="H184" s="7"/>
      <c r="I184" s="7"/>
      <c r="J184" s="7"/>
      <c r="K184" s="7"/>
      <c r="L184" s="7"/>
      <c r="M184" s="7"/>
      <c r="N184" s="7"/>
      <c r="O184" s="7"/>
      <c r="P184" s="7"/>
      <c r="Q184" s="7"/>
      <c r="R184" s="7"/>
      <c r="S184" s="7"/>
      <c r="T184" s="7"/>
      <c r="U184" s="7"/>
      <c r="V184" s="7"/>
      <c r="W184" s="7"/>
      <c r="X184" s="7"/>
      <c r="Y184" s="7"/>
      <c r="Z184" s="7"/>
    </row>
    <row r="185" spans="1:26" x14ac:dyDescent="0.35">
      <c r="A185" s="7"/>
      <c r="B185" s="7"/>
      <c r="C185" s="1404"/>
      <c r="D185" s="17"/>
      <c r="E185" s="7"/>
      <c r="F185" s="1393"/>
      <c r="G185" s="7"/>
      <c r="H185" s="7"/>
      <c r="I185" s="7"/>
      <c r="J185" s="7"/>
      <c r="K185" s="7"/>
      <c r="L185" s="7"/>
      <c r="M185" s="7"/>
      <c r="N185" s="7"/>
      <c r="O185" s="7"/>
      <c r="P185" s="7"/>
      <c r="Q185" s="7"/>
      <c r="R185" s="7"/>
      <c r="S185" s="7"/>
      <c r="T185" s="7"/>
      <c r="U185" s="7"/>
      <c r="V185" s="7"/>
      <c r="W185" s="7"/>
      <c r="X185" s="7"/>
      <c r="Y185" s="7"/>
      <c r="Z185" s="7"/>
    </row>
    <row r="186" spans="1:26" x14ac:dyDescent="0.35">
      <c r="A186" s="7"/>
      <c r="B186" s="7"/>
      <c r="C186" s="1404"/>
      <c r="D186" s="17"/>
      <c r="E186" s="7"/>
      <c r="F186" s="1393"/>
      <c r="G186" s="7"/>
      <c r="H186" s="7"/>
      <c r="I186" s="7"/>
      <c r="J186" s="7"/>
      <c r="K186" s="7"/>
      <c r="L186" s="7"/>
      <c r="M186" s="7"/>
      <c r="N186" s="7"/>
      <c r="O186" s="7"/>
      <c r="P186" s="7"/>
      <c r="Q186" s="7"/>
      <c r="R186" s="7"/>
      <c r="S186" s="7"/>
      <c r="T186" s="7"/>
      <c r="U186" s="7"/>
      <c r="V186" s="7"/>
      <c r="W186" s="7"/>
      <c r="X186" s="7"/>
      <c r="Y186" s="7"/>
      <c r="Z186" s="7"/>
    </row>
    <row r="187" spans="1:26" x14ac:dyDescent="0.35">
      <c r="A187" s="7"/>
      <c r="B187" s="7"/>
      <c r="C187" s="1404"/>
      <c r="D187" s="17"/>
      <c r="E187" s="7"/>
      <c r="F187" s="1393"/>
      <c r="G187" s="7"/>
      <c r="H187" s="7"/>
      <c r="I187" s="7"/>
      <c r="J187" s="7"/>
      <c r="K187" s="7"/>
      <c r="L187" s="7"/>
      <c r="M187" s="7"/>
      <c r="N187" s="7"/>
      <c r="O187" s="7"/>
      <c r="P187" s="7"/>
      <c r="Q187" s="7"/>
      <c r="R187" s="7"/>
      <c r="S187" s="7"/>
      <c r="T187" s="7"/>
      <c r="U187" s="7"/>
      <c r="V187" s="7"/>
      <c r="W187" s="7"/>
      <c r="X187" s="7"/>
      <c r="Y187" s="7"/>
      <c r="Z187" s="7"/>
    </row>
    <row r="188" spans="1:26" x14ac:dyDescent="0.35">
      <c r="A188" s="7"/>
      <c r="B188" s="7"/>
      <c r="C188" s="1404"/>
      <c r="D188" s="17"/>
      <c r="E188" s="7"/>
      <c r="F188" s="1393"/>
      <c r="G188" s="7"/>
      <c r="H188" s="7"/>
      <c r="I188" s="7"/>
      <c r="J188" s="7"/>
      <c r="K188" s="7"/>
      <c r="L188" s="7"/>
      <c r="M188" s="7"/>
      <c r="N188" s="7"/>
      <c r="O188" s="7"/>
      <c r="P188" s="7"/>
      <c r="Q188" s="7"/>
      <c r="R188" s="7"/>
      <c r="S188" s="7"/>
      <c r="T188" s="7"/>
      <c r="U188" s="7"/>
      <c r="V188" s="7"/>
      <c r="W188" s="7"/>
      <c r="X188" s="7"/>
      <c r="Y188" s="7"/>
      <c r="Z188" s="7"/>
    </row>
    <row r="189" spans="1:26" x14ac:dyDescent="0.35">
      <c r="A189" s="7"/>
      <c r="B189" s="7"/>
      <c r="C189" s="1404"/>
      <c r="D189" s="17"/>
      <c r="E189" s="7"/>
      <c r="F189" s="1393"/>
      <c r="G189" s="7"/>
      <c r="H189" s="7"/>
      <c r="I189" s="7"/>
      <c r="J189" s="7"/>
      <c r="K189" s="7"/>
      <c r="L189" s="7"/>
      <c r="M189" s="7"/>
      <c r="N189" s="7"/>
      <c r="O189" s="7"/>
      <c r="P189" s="7"/>
      <c r="Q189" s="7"/>
      <c r="R189" s="7"/>
      <c r="S189" s="7"/>
      <c r="T189" s="7"/>
      <c r="U189" s="7"/>
      <c r="V189" s="7"/>
      <c r="W189" s="7"/>
      <c r="X189" s="7"/>
      <c r="Y189" s="7"/>
      <c r="Z189" s="7"/>
    </row>
    <row r="190" spans="1:26" x14ac:dyDescent="0.35">
      <c r="A190" s="7"/>
      <c r="B190" s="7"/>
      <c r="C190" s="1404"/>
      <c r="D190" s="17"/>
      <c r="E190" s="7"/>
      <c r="F190" s="1393"/>
      <c r="G190" s="7"/>
      <c r="H190" s="7"/>
      <c r="I190" s="7"/>
      <c r="J190" s="7"/>
      <c r="K190" s="7"/>
      <c r="L190" s="7"/>
      <c r="M190" s="7"/>
      <c r="N190" s="7"/>
      <c r="O190" s="7"/>
      <c r="P190" s="7"/>
      <c r="Q190" s="7"/>
      <c r="R190" s="7"/>
      <c r="S190" s="7"/>
      <c r="T190" s="7"/>
      <c r="U190" s="7"/>
      <c r="V190" s="7"/>
      <c r="W190" s="7"/>
      <c r="X190" s="7"/>
      <c r="Y190" s="7"/>
      <c r="Z190" s="7"/>
    </row>
    <row r="191" spans="1:26" x14ac:dyDescent="0.35">
      <c r="A191" s="7"/>
      <c r="B191" s="7"/>
      <c r="C191" s="1404"/>
      <c r="D191" s="17"/>
      <c r="E191" s="7"/>
      <c r="F191" s="1393"/>
      <c r="G191" s="7"/>
      <c r="H191" s="7"/>
      <c r="I191" s="7"/>
      <c r="J191" s="7"/>
      <c r="K191" s="7"/>
      <c r="L191" s="7"/>
      <c r="M191" s="7"/>
      <c r="N191" s="7"/>
      <c r="O191" s="7"/>
      <c r="P191" s="7"/>
      <c r="Q191" s="7"/>
      <c r="R191" s="7"/>
      <c r="S191" s="7"/>
      <c r="T191" s="7"/>
      <c r="U191" s="7"/>
      <c r="V191" s="7"/>
      <c r="W191" s="7"/>
      <c r="X191" s="7"/>
      <c r="Y191" s="7"/>
      <c r="Z191" s="7"/>
    </row>
    <row r="192" spans="1:26" x14ac:dyDescent="0.35">
      <c r="A192" s="7"/>
      <c r="B192" s="7"/>
      <c r="C192" s="1404"/>
      <c r="D192" s="17"/>
      <c r="E192" s="7"/>
      <c r="F192" s="1393"/>
      <c r="G192" s="7"/>
      <c r="H192" s="7"/>
      <c r="I192" s="7"/>
      <c r="J192" s="7"/>
      <c r="K192" s="7"/>
      <c r="L192" s="7"/>
      <c r="M192" s="7"/>
      <c r="N192" s="7"/>
      <c r="O192" s="7"/>
      <c r="P192" s="7"/>
      <c r="Q192" s="7"/>
      <c r="R192" s="7"/>
      <c r="S192" s="7"/>
      <c r="T192" s="7"/>
      <c r="U192" s="7"/>
      <c r="V192" s="7"/>
      <c r="W192" s="7"/>
      <c r="X192" s="7"/>
      <c r="Y192" s="7"/>
      <c r="Z192" s="7"/>
    </row>
    <row r="193" spans="1:26" x14ac:dyDescent="0.35">
      <c r="A193" s="7"/>
      <c r="B193" s="7"/>
      <c r="C193" s="1404"/>
      <c r="D193" s="17"/>
      <c r="E193" s="7"/>
      <c r="F193" s="1393"/>
      <c r="G193" s="7"/>
      <c r="H193" s="7"/>
      <c r="I193" s="7"/>
      <c r="J193" s="7"/>
      <c r="K193" s="7"/>
      <c r="L193" s="7"/>
      <c r="M193" s="7"/>
      <c r="N193" s="7"/>
      <c r="O193" s="7"/>
      <c r="P193" s="7"/>
      <c r="Q193" s="7"/>
      <c r="R193" s="7"/>
      <c r="S193" s="7"/>
      <c r="T193" s="7"/>
      <c r="U193" s="7"/>
      <c r="V193" s="7"/>
      <c r="W193" s="7"/>
      <c r="X193" s="7"/>
      <c r="Y193" s="7"/>
      <c r="Z193" s="7"/>
    </row>
    <row r="194" spans="1:26" x14ac:dyDescent="0.35">
      <c r="A194" s="7"/>
      <c r="B194" s="7"/>
      <c r="C194" s="1404"/>
      <c r="D194" s="17"/>
      <c r="E194" s="7"/>
      <c r="F194" s="1393"/>
      <c r="G194" s="7"/>
      <c r="H194" s="7"/>
      <c r="I194" s="7"/>
      <c r="J194" s="7"/>
      <c r="K194" s="7"/>
      <c r="L194" s="7"/>
      <c r="M194" s="7"/>
      <c r="N194" s="7"/>
      <c r="O194" s="7"/>
      <c r="P194" s="7"/>
      <c r="Q194" s="7"/>
      <c r="R194" s="7"/>
      <c r="S194" s="7"/>
      <c r="T194" s="7"/>
      <c r="U194" s="7"/>
      <c r="V194" s="7"/>
      <c r="W194" s="7"/>
      <c r="X194" s="7"/>
      <c r="Y194" s="7"/>
      <c r="Z194" s="7"/>
    </row>
    <row r="195" spans="1:26" x14ac:dyDescent="0.35">
      <c r="A195" s="7"/>
      <c r="B195" s="7"/>
      <c r="C195" s="1404"/>
      <c r="D195" s="17"/>
      <c r="E195" s="7"/>
      <c r="F195" s="1393"/>
      <c r="G195" s="7"/>
      <c r="H195" s="7"/>
      <c r="I195" s="7"/>
      <c r="J195" s="7"/>
      <c r="K195" s="7"/>
      <c r="L195" s="7"/>
      <c r="M195" s="7"/>
      <c r="N195" s="7"/>
      <c r="O195" s="7"/>
      <c r="P195" s="7"/>
      <c r="Q195" s="7"/>
      <c r="R195" s="7"/>
      <c r="S195" s="7"/>
      <c r="T195" s="7"/>
      <c r="U195" s="7"/>
      <c r="V195" s="7"/>
      <c r="W195" s="7"/>
      <c r="X195" s="7"/>
      <c r="Y195" s="7"/>
      <c r="Z195" s="7"/>
    </row>
    <row r="196" spans="1:26" x14ac:dyDescent="0.35">
      <c r="A196" s="7"/>
      <c r="B196" s="7"/>
      <c r="C196" s="1404"/>
      <c r="D196" s="17"/>
      <c r="E196" s="7"/>
      <c r="F196" s="1393"/>
      <c r="G196" s="7"/>
      <c r="H196" s="7"/>
      <c r="I196" s="7"/>
      <c r="J196" s="7"/>
      <c r="K196" s="7"/>
      <c r="L196" s="7"/>
      <c r="M196" s="7"/>
      <c r="N196" s="7"/>
      <c r="O196" s="7"/>
      <c r="P196" s="7"/>
      <c r="Q196" s="7"/>
      <c r="R196" s="7"/>
      <c r="S196" s="7"/>
      <c r="T196" s="7"/>
      <c r="U196" s="7"/>
      <c r="V196" s="7"/>
      <c r="W196" s="7"/>
      <c r="X196" s="7"/>
      <c r="Y196" s="7"/>
      <c r="Z196" s="7"/>
    </row>
    <row r="197" spans="1:26" x14ac:dyDescent="0.35">
      <c r="A197" s="7"/>
      <c r="B197" s="7"/>
      <c r="C197" s="1404"/>
      <c r="D197" s="17"/>
      <c r="E197" s="7"/>
      <c r="F197" s="1393"/>
      <c r="G197" s="7"/>
      <c r="H197" s="7"/>
      <c r="I197" s="7"/>
      <c r="J197" s="7"/>
      <c r="K197" s="7"/>
      <c r="L197" s="7"/>
      <c r="M197" s="7"/>
      <c r="N197" s="7"/>
      <c r="O197" s="7"/>
      <c r="P197" s="7"/>
      <c r="Q197" s="7"/>
      <c r="R197" s="7"/>
      <c r="S197" s="7"/>
      <c r="T197" s="7"/>
      <c r="U197" s="7"/>
      <c r="V197" s="7"/>
      <c r="W197" s="7"/>
      <c r="X197" s="7"/>
      <c r="Y197" s="7"/>
      <c r="Z197" s="7"/>
    </row>
    <row r="198" spans="1:26" x14ac:dyDescent="0.35">
      <c r="A198" s="7"/>
      <c r="B198" s="7"/>
      <c r="C198" s="1404"/>
      <c r="D198" s="17"/>
      <c r="E198" s="7"/>
      <c r="F198" s="1393"/>
      <c r="G198" s="7"/>
      <c r="H198" s="7"/>
      <c r="I198" s="7"/>
      <c r="J198" s="7"/>
      <c r="K198" s="7"/>
      <c r="L198" s="7"/>
      <c r="M198" s="7"/>
      <c r="N198" s="7"/>
      <c r="O198" s="7"/>
      <c r="P198" s="7"/>
      <c r="Q198" s="7"/>
      <c r="R198" s="7"/>
      <c r="S198" s="7"/>
      <c r="T198" s="7"/>
      <c r="U198" s="7"/>
      <c r="V198" s="7"/>
      <c r="W198" s="7"/>
      <c r="X198" s="7"/>
      <c r="Y198" s="7"/>
      <c r="Z198" s="7"/>
    </row>
    <row r="199" spans="1:26" x14ac:dyDescent="0.35">
      <c r="A199" s="7"/>
      <c r="B199" s="7"/>
      <c r="C199" s="1404"/>
      <c r="D199" s="17"/>
      <c r="E199" s="7"/>
      <c r="F199" s="1393"/>
      <c r="G199" s="7"/>
      <c r="H199" s="7"/>
      <c r="I199" s="7"/>
      <c r="J199" s="7"/>
      <c r="K199" s="7"/>
      <c r="L199" s="7"/>
      <c r="M199" s="7"/>
      <c r="N199" s="7"/>
      <c r="O199" s="7"/>
      <c r="P199" s="7"/>
      <c r="Q199" s="7"/>
      <c r="R199" s="7"/>
      <c r="S199" s="7"/>
      <c r="T199" s="7"/>
      <c r="U199" s="7"/>
      <c r="V199" s="7"/>
      <c r="W199" s="7"/>
      <c r="X199" s="7"/>
      <c r="Y199" s="7"/>
      <c r="Z199" s="7"/>
    </row>
    <row r="200" spans="1:26" x14ac:dyDescent="0.35">
      <c r="A200" s="7"/>
      <c r="B200" s="7"/>
      <c r="C200" s="1404"/>
      <c r="D200" s="17"/>
      <c r="E200" s="7"/>
      <c r="F200" s="1393"/>
      <c r="G200" s="7"/>
      <c r="H200" s="7"/>
      <c r="I200" s="7"/>
      <c r="J200" s="7"/>
      <c r="K200" s="7"/>
      <c r="L200" s="7"/>
      <c r="M200" s="7"/>
      <c r="N200" s="7"/>
      <c r="O200" s="7"/>
      <c r="P200" s="7"/>
      <c r="Q200" s="7"/>
      <c r="R200" s="7"/>
      <c r="S200" s="7"/>
      <c r="T200" s="7"/>
      <c r="U200" s="7"/>
      <c r="V200" s="7"/>
      <c r="W200" s="7"/>
      <c r="X200" s="7"/>
      <c r="Y200" s="7"/>
      <c r="Z200" s="7"/>
    </row>
    <row r="201" spans="1:26" x14ac:dyDescent="0.35">
      <c r="A201" s="7"/>
      <c r="B201" s="7"/>
      <c r="C201" s="1404"/>
      <c r="D201" s="17"/>
      <c r="E201" s="7"/>
      <c r="F201" s="1393"/>
      <c r="G201" s="7"/>
      <c r="H201" s="7"/>
      <c r="I201" s="7"/>
      <c r="J201" s="7"/>
      <c r="K201" s="7"/>
      <c r="L201" s="7"/>
      <c r="M201" s="7"/>
      <c r="N201" s="7"/>
      <c r="O201" s="7"/>
      <c r="P201" s="7"/>
      <c r="Q201" s="7"/>
      <c r="R201" s="7"/>
      <c r="S201" s="7"/>
      <c r="T201" s="7"/>
      <c r="U201" s="7"/>
      <c r="V201" s="7"/>
      <c r="W201" s="7"/>
      <c r="X201" s="7"/>
      <c r="Y201" s="7"/>
      <c r="Z201" s="7"/>
    </row>
    <row r="202" spans="1:26" x14ac:dyDescent="0.35">
      <c r="A202" s="7"/>
      <c r="B202" s="7"/>
      <c r="C202" s="1404"/>
      <c r="D202" s="17"/>
      <c r="E202" s="7"/>
      <c r="F202" s="1393"/>
      <c r="G202" s="7"/>
      <c r="H202" s="7"/>
      <c r="I202" s="7"/>
      <c r="J202" s="7"/>
      <c r="K202" s="7"/>
      <c r="L202" s="7"/>
      <c r="M202" s="7"/>
      <c r="N202" s="7"/>
      <c r="O202" s="7"/>
      <c r="P202" s="7"/>
      <c r="Q202" s="7"/>
      <c r="R202" s="7"/>
      <c r="S202" s="7"/>
      <c r="T202" s="7"/>
      <c r="U202" s="7"/>
      <c r="V202" s="7"/>
      <c r="W202" s="7"/>
      <c r="X202" s="7"/>
      <c r="Y202" s="7"/>
      <c r="Z202" s="7"/>
    </row>
    <row r="203" spans="1:26" x14ac:dyDescent="0.35">
      <c r="A203" s="7"/>
      <c r="B203" s="7"/>
      <c r="C203" s="1404"/>
      <c r="D203" s="17"/>
      <c r="E203" s="7"/>
      <c r="F203" s="1393"/>
      <c r="G203" s="7"/>
      <c r="H203" s="7"/>
      <c r="I203" s="7"/>
      <c r="J203" s="7"/>
      <c r="K203" s="7"/>
      <c r="L203" s="7"/>
      <c r="M203" s="7"/>
      <c r="N203" s="7"/>
      <c r="O203" s="7"/>
      <c r="P203" s="7"/>
      <c r="Q203" s="7"/>
      <c r="R203" s="7"/>
      <c r="S203" s="7"/>
      <c r="T203" s="7"/>
      <c r="U203" s="7"/>
      <c r="V203" s="7"/>
      <c r="W203" s="7"/>
      <c r="X203" s="7"/>
      <c r="Y203" s="7"/>
      <c r="Z203" s="7"/>
    </row>
    <row r="204" spans="1:26" x14ac:dyDescent="0.35">
      <c r="A204" s="7"/>
      <c r="B204" s="7"/>
      <c r="C204" s="1404"/>
      <c r="D204" s="17"/>
      <c r="E204" s="7"/>
      <c r="F204" s="1393"/>
      <c r="G204" s="7"/>
      <c r="H204" s="7"/>
      <c r="I204" s="7"/>
      <c r="J204" s="7"/>
      <c r="K204" s="7"/>
      <c r="L204" s="7"/>
      <c r="M204" s="7"/>
      <c r="N204" s="7"/>
      <c r="O204" s="7"/>
      <c r="P204" s="7"/>
      <c r="Q204" s="7"/>
      <c r="R204" s="7"/>
      <c r="S204" s="7"/>
      <c r="T204" s="7"/>
      <c r="U204" s="7"/>
      <c r="V204" s="7"/>
      <c r="W204" s="7"/>
      <c r="X204" s="7"/>
      <c r="Y204" s="7"/>
      <c r="Z204" s="7"/>
    </row>
    <row r="205" spans="1:26" x14ac:dyDescent="0.35">
      <c r="A205" s="7"/>
      <c r="B205" s="7"/>
      <c r="C205" s="1404"/>
      <c r="D205" s="17"/>
      <c r="E205" s="7"/>
      <c r="F205" s="1393"/>
      <c r="G205" s="7"/>
      <c r="H205" s="7"/>
      <c r="I205" s="7"/>
      <c r="J205" s="7"/>
      <c r="K205" s="7"/>
      <c r="L205" s="7"/>
      <c r="M205" s="7"/>
      <c r="N205" s="7"/>
      <c r="O205" s="7"/>
      <c r="P205" s="7"/>
      <c r="Q205" s="7"/>
      <c r="R205" s="7"/>
      <c r="S205" s="7"/>
      <c r="T205" s="7"/>
      <c r="U205" s="7"/>
      <c r="V205" s="7"/>
      <c r="W205" s="7"/>
      <c r="X205" s="7"/>
      <c r="Y205" s="7"/>
      <c r="Z205" s="7"/>
    </row>
    <row r="206" spans="1:26" x14ac:dyDescent="0.35">
      <c r="A206" s="7"/>
      <c r="B206" s="7"/>
      <c r="C206" s="1404"/>
      <c r="D206" s="17"/>
      <c r="E206" s="7"/>
      <c r="F206" s="1393"/>
      <c r="G206" s="7"/>
      <c r="H206" s="7"/>
      <c r="I206" s="7"/>
      <c r="J206" s="7"/>
      <c r="K206" s="7"/>
      <c r="L206" s="7"/>
      <c r="M206" s="7"/>
      <c r="N206" s="7"/>
      <c r="O206" s="7"/>
      <c r="P206" s="7"/>
      <c r="Q206" s="7"/>
      <c r="R206" s="7"/>
      <c r="S206" s="7"/>
      <c r="T206" s="7"/>
      <c r="U206" s="7"/>
      <c r="V206" s="7"/>
      <c r="W206" s="7"/>
      <c r="X206" s="7"/>
      <c r="Y206" s="7"/>
      <c r="Z206" s="7"/>
    </row>
    <row r="207" spans="1:26" x14ac:dyDescent="0.35">
      <c r="A207" s="7"/>
      <c r="B207" s="7"/>
      <c r="C207" s="1404"/>
      <c r="D207" s="17"/>
      <c r="E207" s="7"/>
      <c r="F207" s="1393"/>
      <c r="G207" s="7"/>
      <c r="H207" s="7"/>
      <c r="I207" s="7"/>
      <c r="J207" s="7"/>
      <c r="K207" s="7"/>
      <c r="L207" s="7"/>
      <c r="M207" s="7"/>
      <c r="N207" s="7"/>
      <c r="O207" s="7"/>
      <c r="P207" s="7"/>
      <c r="Q207" s="7"/>
      <c r="R207" s="7"/>
      <c r="S207" s="7"/>
      <c r="T207" s="7"/>
      <c r="U207" s="7"/>
      <c r="V207" s="7"/>
      <c r="W207" s="7"/>
      <c r="X207" s="7"/>
      <c r="Y207" s="7"/>
      <c r="Z207" s="7"/>
    </row>
    <row r="208" spans="1:26" x14ac:dyDescent="0.35">
      <c r="A208" s="7"/>
      <c r="B208" s="7"/>
      <c r="C208" s="1404"/>
      <c r="D208" s="17"/>
      <c r="E208" s="7"/>
      <c r="F208" s="1393"/>
      <c r="G208" s="7"/>
      <c r="H208" s="7"/>
      <c r="I208" s="7"/>
      <c r="J208" s="7"/>
      <c r="K208" s="7"/>
      <c r="L208" s="7"/>
      <c r="M208" s="7"/>
      <c r="N208" s="7"/>
      <c r="O208" s="7"/>
      <c r="P208" s="7"/>
      <c r="Q208" s="7"/>
      <c r="R208" s="7"/>
      <c r="S208" s="7"/>
      <c r="T208" s="7"/>
      <c r="U208" s="7"/>
      <c r="V208" s="7"/>
      <c r="W208" s="7"/>
      <c r="X208" s="7"/>
      <c r="Y208" s="7"/>
      <c r="Z208" s="7"/>
    </row>
    <row r="209" spans="1:26" x14ac:dyDescent="0.35">
      <c r="A209" s="7"/>
      <c r="B209" s="7"/>
      <c r="C209" s="1404"/>
      <c r="D209" s="17"/>
      <c r="E209" s="7"/>
      <c r="F209" s="1393"/>
      <c r="G209" s="7"/>
      <c r="H209" s="7"/>
      <c r="I209" s="7"/>
      <c r="J209" s="7"/>
      <c r="K209" s="7"/>
      <c r="L209" s="7"/>
      <c r="M209" s="7"/>
      <c r="N209" s="7"/>
      <c r="O209" s="7"/>
      <c r="P209" s="7"/>
      <c r="Q209" s="7"/>
      <c r="R209" s="7"/>
      <c r="S209" s="7"/>
      <c r="T209" s="7"/>
      <c r="U209" s="7"/>
      <c r="V209" s="7"/>
      <c r="W209" s="7"/>
      <c r="X209" s="7"/>
      <c r="Y209" s="7"/>
      <c r="Z209" s="7"/>
    </row>
    <row r="210" spans="1:26" x14ac:dyDescent="0.35">
      <c r="A210" s="7"/>
      <c r="B210" s="7"/>
      <c r="C210" s="1404"/>
      <c r="D210" s="17"/>
      <c r="E210" s="7"/>
      <c r="F210" s="1393"/>
      <c r="G210" s="7"/>
      <c r="H210" s="7"/>
      <c r="I210" s="7"/>
      <c r="J210" s="7"/>
      <c r="K210" s="7"/>
      <c r="L210" s="7"/>
      <c r="M210" s="7"/>
      <c r="N210" s="7"/>
      <c r="O210" s="7"/>
      <c r="P210" s="7"/>
      <c r="Q210" s="7"/>
      <c r="R210" s="7"/>
      <c r="S210" s="7"/>
      <c r="T210" s="7"/>
      <c r="U210" s="7"/>
      <c r="V210" s="7"/>
      <c r="W210" s="7"/>
      <c r="X210" s="7"/>
      <c r="Y210" s="7"/>
      <c r="Z210" s="7"/>
    </row>
    <row r="211" spans="1:26" x14ac:dyDescent="0.35">
      <c r="A211" s="7"/>
      <c r="B211" s="7"/>
      <c r="C211" s="1404"/>
      <c r="D211" s="17"/>
      <c r="E211" s="7"/>
      <c r="F211" s="1393"/>
      <c r="G211" s="7"/>
      <c r="H211" s="7"/>
      <c r="I211" s="7"/>
      <c r="J211" s="7"/>
      <c r="K211" s="7"/>
      <c r="L211" s="7"/>
      <c r="M211" s="7"/>
      <c r="N211" s="7"/>
      <c r="O211" s="7"/>
      <c r="P211" s="7"/>
      <c r="Q211" s="7"/>
      <c r="R211" s="7"/>
      <c r="S211" s="7"/>
      <c r="T211" s="7"/>
      <c r="U211" s="7"/>
      <c r="V211" s="7"/>
      <c r="W211" s="7"/>
      <c r="X211" s="7"/>
      <c r="Y211" s="7"/>
      <c r="Z211" s="7"/>
    </row>
    <row r="212" spans="1:26" x14ac:dyDescent="0.35">
      <c r="A212" s="7"/>
      <c r="B212" s="7"/>
      <c r="C212" s="1404"/>
      <c r="D212" s="17"/>
      <c r="E212" s="7"/>
      <c r="F212" s="1393"/>
      <c r="G212" s="7"/>
      <c r="H212" s="7"/>
      <c r="I212" s="7"/>
      <c r="J212" s="7"/>
      <c r="K212" s="7"/>
      <c r="L212" s="7"/>
      <c r="M212" s="7"/>
      <c r="N212" s="7"/>
      <c r="O212" s="7"/>
      <c r="P212" s="7"/>
      <c r="Q212" s="7"/>
      <c r="R212" s="7"/>
      <c r="S212" s="7"/>
      <c r="T212" s="7"/>
      <c r="U212" s="7"/>
      <c r="V212" s="7"/>
      <c r="W212" s="7"/>
      <c r="X212" s="7"/>
      <c r="Y212" s="7"/>
      <c r="Z212" s="7"/>
    </row>
    <row r="213" spans="1:26" x14ac:dyDescent="0.35">
      <c r="A213" s="7"/>
      <c r="B213" s="7"/>
      <c r="C213" s="1404"/>
      <c r="D213" s="17"/>
      <c r="E213" s="7"/>
      <c r="F213" s="1393"/>
      <c r="G213" s="7"/>
      <c r="H213" s="7"/>
      <c r="I213" s="7"/>
      <c r="J213" s="7"/>
      <c r="K213" s="7"/>
      <c r="L213" s="7"/>
      <c r="M213" s="7"/>
      <c r="N213" s="7"/>
      <c r="O213" s="7"/>
      <c r="P213" s="7"/>
      <c r="Q213" s="7"/>
      <c r="R213" s="7"/>
      <c r="S213" s="7"/>
      <c r="T213" s="7"/>
      <c r="U213" s="7"/>
      <c r="V213" s="7"/>
      <c r="W213" s="7"/>
      <c r="X213" s="7"/>
      <c r="Y213" s="7"/>
      <c r="Z213" s="7"/>
    </row>
    <row r="214" spans="1:26" x14ac:dyDescent="0.35">
      <c r="A214" s="7"/>
      <c r="B214" s="7"/>
      <c r="C214" s="1404"/>
      <c r="D214" s="17"/>
      <c r="E214" s="7"/>
      <c r="F214" s="1393"/>
      <c r="G214" s="7"/>
      <c r="H214" s="7"/>
      <c r="I214" s="7"/>
      <c r="J214" s="7"/>
      <c r="K214" s="7"/>
      <c r="L214" s="7"/>
      <c r="M214" s="7"/>
      <c r="N214" s="7"/>
      <c r="O214" s="7"/>
      <c r="P214" s="7"/>
      <c r="Q214" s="7"/>
      <c r="R214" s="7"/>
      <c r="S214" s="7"/>
      <c r="T214" s="7"/>
      <c r="U214" s="7"/>
      <c r="V214" s="7"/>
      <c r="W214" s="7"/>
      <c r="X214" s="7"/>
      <c r="Y214" s="7"/>
      <c r="Z214" s="7"/>
    </row>
    <row r="215" spans="1:26" x14ac:dyDescent="0.35">
      <c r="A215" s="7"/>
      <c r="B215" s="7"/>
      <c r="C215" s="1404"/>
      <c r="D215" s="17"/>
      <c r="E215" s="7"/>
      <c r="F215" s="1393"/>
      <c r="G215" s="7"/>
      <c r="H215" s="7"/>
      <c r="I215" s="7"/>
      <c r="J215" s="7"/>
      <c r="K215" s="7"/>
      <c r="L215" s="7"/>
      <c r="M215" s="7"/>
      <c r="N215" s="7"/>
      <c r="O215" s="7"/>
      <c r="P215" s="7"/>
      <c r="Q215" s="7"/>
      <c r="R215" s="7"/>
      <c r="S215" s="7"/>
      <c r="T215" s="7"/>
      <c r="U215" s="7"/>
      <c r="V215" s="7"/>
      <c r="W215" s="7"/>
      <c r="X215" s="7"/>
      <c r="Y215" s="7"/>
      <c r="Z215" s="7"/>
    </row>
    <row r="216" spans="1:26" x14ac:dyDescent="0.35">
      <c r="A216" s="7"/>
      <c r="B216" s="7"/>
      <c r="C216" s="1404"/>
      <c r="D216" s="17"/>
      <c r="E216" s="7"/>
      <c r="F216" s="1393"/>
      <c r="G216" s="7"/>
      <c r="H216" s="7"/>
      <c r="I216" s="7"/>
      <c r="J216" s="7"/>
      <c r="K216" s="7"/>
      <c r="L216" s="7"/>
      <c r="M216" s="7"/>
      <c r="N216" s="7"/>
      <c r="O216" s="7"/>
      <c r="P216" s="7"/>
      <c r="Q216" s="7"/>
      <c r="R216" s="7"/>
      <c r="S216" s="7"/>
      <c r="T216" s="7"/>
      <c r="U216" s="7"/>
      <c r="V216" s="7"/>
      <c r="W216" s="7"/>
      <c r="X216" s="7"/>
      <c r="Y216" s="7"/>
      <c r="Z216" s="7"/>
    </row>
    <row r="217" spans="1:26" x14ac:dyDescent="0.35">
      <c r="A217" s="7"/>
      <c r="B217" s="7"/>
      <c r="C217" s="1404"/>
      <c r="D217" s="17"/>
      <c r="E217" s="7"/>
      <c r="F217" s="1393"/>
      <c r="G217" s="7"/>
      <c r="H217" s="7"/>
      <c r="I217" s="7"/>
      <c r="J217" s="7"/>
      <c r="K217" s="7"/>
      <c r="L217" s="7"/>
      <c r="M217" s="7"/>
      <c r="N217" s="7"/>
      <c r="O217" s="7"/>
      <c r="P217" s="7"/>
      <c r="Q217" s="7"/>
      <c r="R217" s="7"/>
      <c r="S217" s="7"/>
      <c r="T217" s="7"/>
      <c r="U217" s="7"/>
      <c r="V217" s="7"/>
      <c r="W217" s="7"/>
      <c r="X217" s="7"/>
      <c r="Y217" s="7"/>
      <c r="Z217" s="7"/>
    </row>
    <row r="218" spans="1:26" x14ac:dyDescent="0.35">
      <c r="A218" s="7"/>
      <c r="B218" s="7"/>
      <c r="C218" s="1404"/>
      <c r="D218" s="17"/>
      <c r="E218" s="7"/>
      <c r="F218" s="1393"/>
      <c r="G218" s="7"/>
      <c r="H218" s="7"/>
      <c r="I218" s="7"/>
      <c r="J218" s="7"/>
      <c r="K218" s="7"/>
      <c r="L218" s="7"/>
      <c r="M218" s="7"/>
      <c r="N218" s="7"/>
      <c r="O218" s="7"/>
      <c r="P218" s="7"/>
      <c r="Q218" s="7"/>
      <c r="R218" s="7"/>
      <c r="S218" s="7"/>
      <c r="T218" s="7"/>
      <c r="U218" s="7"/>
      <c r="V218" s="7"/>
      <c r="W218" s="7"/>
      <c r="X218" s="7"/>
      <c r="Y218" s="7"/>
      <c r="Z218" s="7"/>
    </row>
    <row r="219" spans="1:26" x14ac:dyDescent="0.35">
      <c r="A219" s="7"/>
      <c r="B219" s="7"/>
      <c r="C219" s="1404"/>
      <c r="D219" s="17"/>
      <c r="E219" s="7"/>
      <c r="F219" s="1393"/>
      <c r="G219" s="7"/>
      <c r="H219" s="7"/>
      <c r="I219" s="7"/>
      <c r="J219" s="7"/>
      <c r="K219" s="7"/>
      <c r="L219" s="7"/>
      <c r="M219" s="7"/>
      <c r="N219" s="7"/>
      <c r="O219" s="7"/>
      <c r="P219" s="7"/>
      <c r="Q219" s="7"/>
      <c r="R219" s="7"/>
      <c r="S219" s="7"/>
      <c r="T219" s="7"/>
      <c r="U219" s="7"/>
      <c r="V219" s="7"/>
      <c r="W219" s="7"/>
      <c r="X219" s="7"/>
      <c r="Y219" s="7"/>
      <c r="Z219" s="7"/>
    </row>
    <row r="220" spans="1:26" x14ac:dyDescent="0.35">
      <c r="A220" s="7"/>
      <c r="B220" s="7"/>
      <c r="C220" s="1404"/>
      <c r="D220" s="17"/>
      <c r="E220" s="7"/>
      <c r="F220" s="1393"/>
      <c r="G220" s="7"/>
      <c r="H220" s="7"/>
      <c r="I220" s="7"/>
      <c r="J220" s="7"/>
      <c r="K220" s="7"/>
      <c r="L220" s="7"/>
      <c r="M220" s="7"/>
      <c r="N220" s="7"/>
      <c r="O220" s="7"/>
      <c r="P220" s="7"/>
      <c r="Q220" s="7"/>
      <c r="R220" s="7"/>
      <c r="S220" s="7"/>
      <c r="T220" s="7"/>
      <c r="U220" s="7"/>
      <c r="V220" s="7"/>
      <c r="W220" s="7"/>
      <c r="X220" s="7"/>
      <c r="Y220" s="7"/>
      <c r="Z220" s="7"/>
    </row>
    <row r="221" spans="1:26" x14ac:dyDescent="0.35">
      <c r="A221" s="7"/>
      <c r="B221" s="7"/>
      <c r="C221" s="1404"/>
      <c r="D221" s="17"/>
      <c r="E221" s="7"/>
      <c r="F221" s="1393"/>
      <c r="G221" s="7"/>
      <c r="H221" s="7"/>
      <c r="I221" s="7"/>
      <c r="J221" s="7"/>
      <c r="K221" s="7"/>
      <c r="L221" s="7"/>
      <c r="M221" s="7"/>
      <c r="N221" s="7"/>
      <c r="O221" s="7"/>
      <c r="P221" s="7"/>
      <c r="Q221" s="7"/>
      <c r="R221" s="7"/>
      <c r="S221" s="7"/>
      <c r="T221" s="7"/>
      <c r="U221" s="7"/>
      <c r="V221" s="7"/>
      <c r="W221" s="7"/>
      <c r="X221" s="7"/>
      <c r="Y221" s="7"/>
      <c r="Z221" s="7"/>
    </row>
    <row r="222" spans="1:26" x14ac:dyDescent="0.35">
      <c r="A222" s="7"/>
      <c r="B222" s="7"/>
      <c r="C222" s="1404"/>
      <c r="D222" s="17"/>
      <c r="E222" s="7"/>
      <c r="F222" s="1393"/>
      <c r="G222" s="7"/>
      <c r="H222" s="7"/>
      <c r="I222" s="7"/>
      <c r="J222" s="7"/>
      <c r="K222" s="7"/>
      <c r="L222" s="7"/>
      <c r="M222" s="7"/>
      <c r="N222" s="7"/>
      <c r="O222" s="7"/>
      <c r="P222" s="7"/>
      <c r="Q222" s="7"/>
      <c r="R222" s="7"/>
      <c r="S222" s="7"/>
      <c r="T222" s="7"/>
      <c r="U222" s="7"/>
      <c r="V222" s="7"/>
      <c r="W222" s="7"/>
      <c r="X222" s="7"/>
      <c r="Y222" s="7"/>
      <c r="Z222" s="7"/>
    </row>
    <row r="223" spans="1:26" x14ac:dyDescent="0.35">
      <c r="A223" s="7"/>
      <c r="B223" s="7"/>
      <c r="C223" s="1404"/>
      <c r="D223" s="17"/>
      <c r="E223" s="7"/>
      <c r="F223" s="1393"/>
      <c r="G223" s="7"/>
      <c r="H223" s="7"/>
      <c r="I223" s="7"/>
      <c r="J223" s="7"/>
      <c r="K223" s="7"/>
      <c r="L223" s="7"/>
      <c r="M223" s="7"/>
      <c r="N223" s="7"/>
      <c r="O223" s="7"/>
      <c r="P223" s="7"/>
      <c r="Q223" s="7"/>
      <c r="R223" s="7"/>
      <c r="S223" s="7"/>
      <c r="T223" s="7"/>
      <c r="U223" s="7"/>
      <c r="V223" s="7"/>
      <c r="W223" s="7"/>
      <c r="X223" s="7"/>
      <c r="Y223" s="7"/>
      <c r="Z223" s="7"/>
    </row>
    <row r="224" spans="1:26" x14ac:dyDescent="0.35">
      <c r="A224" s="7"/>
      <c r="B224" s="7"/>
      <c r="C224" s="1404"/>
      <c r="D224" s="17"/>
      <c r="E224" s="7"/>
      <c r="F224" s="1393"/>
      <c r="G224" s="7"/>
      <c r="H224" s="7"/>
      <c r="I224" s="7"/>
      <c r="J224" s="7"/>
      <c r="K224" s="7"/>
      <c r="L224" s="7"/>
      <c r="M224" s="7"/>
      <c r="N224" s="7"/>
      <c r="O224" s="7"/>
      <c r="P224" s="7"/>
      <c r="Q224" s="7"/>
      <c r="R224" s="7"/>
      <c r="S224" s="7"/>
      <c r="T224" s="7"/>
      <c r="U224" s="7"/>
      <c r="V224" s="7"/>
      <c r="W224" s="7"/>
      <c r="X224" s="7"/>
      <c r="Y224" s="7"/>
      <c r="Z224" s="7"/>
    </row>
    <row r="225" spans="1:26" x14ac:dyDescent="0.35">
      <c r="A225" s="7"/>
      <c r="B225" s="7"/>
      <c r="C225" s="1404"/>
      <c r="D225" s="17"/>
      <c r="E225" s="7"/>
      <c r="F225" s="1393"/>
      <c r="G225" s="7"/>
      <c r="H225" s="7"/>
      <c r="I225" s="7"/>
      <c r="J225" s="7"/>
      <c r="K225" s="7"/>
      <c r="L225" s="7"/>
      <c r="M225" s="7"/>
      <c r="N225" s="7"/>
      <c r="O225" s="7"/>
      <c r="P225" s="7"/>
      <c r="Q225" s="7"/>
      <c r="R225" s="7"/>
      <c r="S225" s="7"/>
      <c r="T225" s="7"/>
      <c r="U225" s="7"/>
      <c r="V225" s="7"/>
      <c r="W225" s="7"/>
      <c r="X225" s="7"/>
      <c r="Y225" s="7"/>
      <c r="Z225" s="7"/>
    </row>
    <row r="226" spans="1:26" x14ac:dyDescent="0.35">
      <c r="A226" s="7"/>
      <c r="B226" s="7"/>
      <c r="C226" s="1404"/>
      <c r="D226" s="17"/>
      <c r="E226" s="7"/>
      <c r="F226" s="1393"/>
      <c r="G226" s="7"/>
      <c r="H226" s="7"/>
      <c r="I226" s="7"/>
      <c r="J226" s="7"/>
      <c r="K226" s="7"/>
      <c r="L226" s="7"/>
      <c r="M226" s="7"/>
      <c r="N226" s="7"/>
      <c r="O226" s="7"/>
      <c r="P226" s="7"/>
      <c r="Q226" s="7"/>
      <c r="R226" s="7"/>
      <c r="S226" s="7"/>
      <c r="T226" s="7"/>
      <c r="U226" s="7"/>
      <c r="V226" s="7"/>
      <c r="W226" s="7"/>
      <c r="X226" s="7"/>
      <c r="Y226" s="7"/>
      <c r="Z226" s="7"/>
    </row>
    <row r="227" spans="1:26" x14ac:dyDescent="0.35">
      <c r="A227" s="7"/>
      <c r="B227" s="7"/>
      <c r="C227" s="1404"/>
      <c r="D227" s="17"/>
      <c r="E227" s="7"/>
      <c r="F227" s="1393"/>
      <c r="G227" s="7"/>
      <c r="H227" s="7"/>
      <c r="I227" s="7"/>
      <c r="J227" s="7"/>
      <c r="K227" s="7"/>
      <c r="L227" s="7"/>
      <c r="M227" s="7"/>
      <c r="N227" s="7"/>
      <c r="O227" s="7"/>
      <c r="P227" s="7"/>
      <c r="Q227" s="7"/>
      <c r="R227" s="7"/>
      <c r="S227" s="7"/>
      <c r="T227" s="7"/>
      <c r="U227" s="7"/>
      <c r="V227" s="7"/>
      <c r="W227" s="7"/>
      <c r="X227" s="7"/>
      <c r="Y227" s="7"/>
      <c r="Z227" s="7"/>
    </row>
    <row r="228" spans="1:26" x14ac:dyDescent="0.35">
      <c r="A228" s="7"/>
      <c r="B228" s="7"/>
      <c r="C228" s="1404"/>
      <c r="D228" s="17"/>
      <c r="E228" s="7"/>
      <c r="F228" s="1393"/>
      <c r="G228" s="7"/>
      <c r="H228" s="7"/>
      <c r="I228" s="7"/>
      <c r="J228" s="7"/>
      <c r="K228" s="7"/>
      <c r="L228" s="7"/>
      <c r="M228" s="7"/>
      <c r="N228" s="7"/>
      <c r="O228" s="7"/>
      <c r="P228" s="7"/>
      <c r="Q228" s="7"/>
      <c r="R228" s="7"/>
      <c r="S228" s="7"/>
      <c r="T228" s="7"/>
      <c r="U228" s="7"/>
      <c r="V228" s="7"/>
      <c r="W228" s="7"/>
      <c r="X228" s="7"/>
      <c r="Y228" s="7"/>
      <c r="Z228" s="7"/>
    </row>
    <row r="229" spans="1:26" x14ac:dyDescent="0.35">
      <c r="A229" s="7"/>
      <c r="B229" s="7"/>
      <c r="C229" s="1404"/>
      <c r="D229" s="17"/>
      <c r="E229" s="7"/>
      <c r="F229" s="1393"/>
      <c r="G229" s="7"/>
      <c r="H229" s="7"/>
      <c r="I229" s="7"/>
      <c r="J229" s="7"/>
      <c r="K229" s="7"/>
      <c r="L229" s="7"/>
      <c r="M229" s="7"/>
      <c r="N229" s="7"/>
      <c r="O229" s="7"/>
      <c r="P229" s="7"/>
      <c r="Q229" s="7"/>
      <c r="R229" s="7"/>
      <c r="S229" s="7"/>
      <c r="T229" s="7"/>
      <c r="U229" s="7"/>
      <c r="V229" s="7"/>
      <c r="W229" s="7"/>
      <c r="X229" s="7"/>
      <c r="Y229" s="7"/>
      <c r="Z229" s="7"/>
    </row>
    <row r="230" spans="1:26" x14ac:dyDescent="0.35">
      <c r="A230" s="7"/>
      <c r="B230" s="7"/>
      <c r="C230" s="1404"/>
      <c r="D230" s="17"/>
      <c r="E230" s="7"/>
      <c r="F230" s="1393"/>
      <c r="G230" s="7"/>
      <c r="H230" s="7"/>
      <c r="I230" s="7"/>
      <c r="J230" s="7"/>
      <c r="K230" s="7"/>
      <c r="L230" s="7"/>
      <c r="M230" s="7"/>
      <c r="N230" s="7"/>
      <c r="O230" s="7"/>
      <c r="P230" s="7"/>
      <c r="Q230" s="7"/>
      <c r="R230" s="7"/>
      <c r="S230" s="7"/>
      <c r="T230" s="7"/>
      <c r="U230" s="7"/>
      <c r="V230" s="7"/>
      <c r="W230" s="7"/>
      <c r="X230" s="7"/>
      <c r="Y230" s="7"/>
      <c r="Z230" s="7"/>
    </row>
    <row r="231" spans="1:26" x14ac:dyDescent="0.35">
      <c r="A231" s="7"/>
      <c r="B231" s="7"/>
      <c r="C231" s="1404"/>
      <c r="D231" s="17"/>
      <c r="E231" s="7"/>
      <c r="F231" s="1393"/>
      <c r="G231" s="7"/>
      <c r="H231" s="7"/>
      <c r="I231" s="7"/>
      <c r="J231" s="7"/>
      <c r="K231" s="7"/>
      <c r="L231" s="7"/>
      <c r="M231" s="7"/>
      <c r="N231" s="7"/>
      <c r="O231" s="7"/>
      <c r="P231" s="7"/>
      <c r="Q231" s="7"/>
      <c r="R231" s="7"/>
      <c r="S231" s="7"/>
      <c r="T231" s="7"/>
      <c r="U231" s="7"/>
      <c r="V231" s="7"/>
      <c r="W231" s="7"/>
      <c r="X231" s="7"/>
      <c r="Y231" s="7"/>
      <c r="Z231" s="7"/>
    </row>
    <row r="232" spans="1:26" x14ac:dyDescent="0.35">
      <c r="A232" s="7"/>
      <c r="B232" s="7"/>
      <c r="C232" s="1404"/>
      <c r="D232" s="17"/>
      <c r="E232" s="7"/>
      <c r="F232" s="1393"/>
      <c r="G232" s="7"/>
      <c r="H232" s="7"/>
      <c r="I232" s="7"/>
      <c r="J232" s="7"/>
      <c r="K232" s="7"/>
      <c r="L232" s="7"/>
      <c r="M232" s="7"/>
      <c r="N232" s="7"/>
      <c r="O232" s="7"/>
      <c r="P232" s="7"/>
      <c r="Q232" s="7"/>
      <c r="R232" s="7"/>
      <c r="S232" s="7"/>
      <c r="T232" s="7"/>
      <c r="U232" s="7"/>
      <c r="V232" s="7"/>
      <c r="W232" s="7"/>
      <c r="X232" s="7"/>
      <c r="Y232" s="7"/>
      <c r="Z232" s="7"/>
    </row>
    <row r="233" spans="1:26" x14ac:dyDescent="0.35">
      <c r="A233" s="7"/>
      <c r="B233" s="7"/>
      <c r="C233" s="1404"/>
      <c r="D233" s="17"/>
      <c r="E233" s="7"/>
      <c r="F233" s="1393"/>
      <c r="G233" s="7"/>
      <c r="H233" s="7"/>
      <c r="I233" s="7"/>
      <c r="J233" s="7"/>
      <c r="K233" s="7"/>
      <c r="L233" s="7"/>
      <c r="M233" s="7"/>
      <c r="N233" s="7"/>
      <c r="O233" s="7"/>
      <c r="P233" s="7"/>
      <c r="Q233" s="7"/>
      <c r="R233" s="7"/>
      <c r="S233" s="7"/>
      <c r="T233" s="7"/>
      <c r="U233" s="7"/>
      <c r="V233" s="7"/>
      <c r="W233" s="7"/>
      <c r="X233" s="7"/>
      <c r="Y233" s="7"/>
      <c r="Z233" s="7"/>
    </row>
    <row r="234" spans="1:26" x14ac:dyDescent="0.35">
      <c r="A234" s="7"/>
      <c r="B234" s="7"/>
      <c r="C234" s="1404"/>
      <c r="D234" s="17"/>
      <c r="E234" s="7"/>
      <c r="F234" s="1393"/>
      <c r="G234" s="7"/>
      <c r="H234" s="7"/>
      <c r="I234" s="7"/>
      <c r="J234" s="7"/>
      <c r="K234" s="7"/>
      <c r="L234" s="7"/>
      <c r="M234" s="7"/>
      <c r="N234" s="7"/>
      <c r="O234" s="7"/>
      <c r="P234" s="7"/>
      <c r="Q234" s="7"/>
      <c r="R234" s="7"/>
      <c r="S234" s="7"/>
      <c r="T234" s="7"/>
      <c r="U234" s="7"/>
      <c r="V234" s="7"/>
      <c r="W234" s="7"/>
      <c r="X234" s="7"/>
      <c r="Y234" s="7"/>
      <c r="Z234" s="7"/>
    </row>
    <row r="235" spans="1:26" x14ac:dyDescent="0.35">
      <c r="A235" s="7"/>
      <c r="B235" s="7"/>
      <c r="C235" s="1404"/>
      <c r="D235" s="17"/>
      <c r="E235" s="7"/>
      <c r="F235" s="1393"/>
      <c r="G235" s="7"/>
      <c r="H235" s="7"/>
      <c r="I235" s="7"/>
      <c r="J235" s="7"/>
      <c r="K235" s="7"/>
      <c r="L235" s="7"/>
      <c r="M235" s="7"/>
      <c r="N235" s="7"/>
      <c r="O235" s="7"/>
      <c r="P235" s="7"/>
      <c r="Q235" s="7"/>
      <c r="R235" s="7"/>
      <c r="S235" s="7"/>
      <c r="T235" s="7"/>
      <c r="U235" s="7"/>
      <c r="V235" s="7"/>
      <c r="W235" s="7"/>
      <c r="X235" s="7"/>
      <c r="Y235" s="7"/>
      <c r="Z235" s="7"/>
    </row>
    <row r="236" spans="1:26" x14ac:dyDescent="0.35">
      <c r="A236" s="7"/>
      <c r="B236" s="7"/>
      <c r="C236" s="1404"/>
      <c r="D236" s="17"/>
      <c r="E236" s="7"/>
      <c r="F236" s="1393"/>
      <c r="G236" s="7"/>
      <c r="H236" s="7"/>
      <c r="I236" s="7"/>
      <c r="J236" s="7"/>
      <c r="K236" s="7"/>
      <c r="L236" s="7"/>
      <c r="M236" s="7"/>
      <c r="N236" s="7"/>
      <c r="O236" s="7"/>
      <c r="P236" s="7"/>
      <c r="Q236" s="7"/>
      <c r="R236" s="7"/>
      <c r="S236" s="7"/>
      <c r="T236" s="7"/>
      <c r="U236" s="7"/>
      <c r="V236" s="7"/>
      <c r="W236" s="7"/>
      <c r="X236" s="7"/>
      <c r="Y236" s="7"/>
      <c r="Z236" s="7"/>
    </row>
    <row r="237" spans="1:26" x14ac:dyDescent="0.35">
      <c r="A237" s="7"/>
      <c r="B237" s="7"/>
      <c r="C237" s="1404"/>
      <c r="D237" s="17"/>
      <c r="E237" s="7"/>
      <c r="F237" s="1393"/>
      <c r="G237" s="7"/>
      <c r="H237" s="7"/>
      <c r="I237" s="7"/>
      <c r="J237" s="7"/>
      <c r="K237" s="7"/>
      <c r="L237" s="7"/>
      <c r="M237" s="7"/>
      <c r="N237" s="7"/>
      <c r="O237" s="7"/>
      <c r="P237" s="7"/>
      <c r="Q237" s="7"/>
      <c r="R237" s="7"/>
      <c r="S237" s="7"/>
      <c r="T237" s="7"/>
      <c r="U237" s="7"/>
      <c r="V237" s="7"/>
      <c r="W237" s="7"/>
      <c r="X237" s="7"/>
      <c r="Y237" s="7"/>
      <c r="Z237" s="7"/>
    </row>
    <row r="238" spans="1:26" x14ac:dyDescent="0.35">
      <c r="A238" s="7"/>
      <c r="B238" s="7"/>
      <c r="C238" s="1404"/>
      <c r="D238" s="17"/>
      <c r="E238" s="7"/>
      <c r="F238" s="1393"/>
      <c r="G238" s="7"/>
      <c r="H238" s="7"/>
      <c r="I238" s="7"/>
      <c r="J238" s="7"/>
      <c r="K238" s="7"/>
      <c r="L238" s="7"/>
      <c r="M238" s="7"/>
      <c r="N238" s="7"/>
      <c r="O238" s="7"/>
      <c r="P238" s="7"/>
      <c r="Q238" s="7"/>
      <c r="R238" s="7"/>
      <c r="S238" s="7"/>
      <c r="T238" s="7"/>
      <c r="U238" s="7"/>
      <c r="V238" s="7"/>
      <c r="W238" s="7"/>
      <c r="X238" s="7"/>
      <c r="Y238" s="7"/>
      <c r="Z238" s="7"/>
    </row>
    <row r="239" spans="1:26" x14ac:dyDescent="0.35">
      <c r="A239" s="7"/>
      <c r="B239" s="7"/>
      <c r="C239" s="1404"/>
      <c r="D239" s="17"/>
      <c r="E239" s="7"/>
      <c r="F239" s="1393"/>
      <c r="G239" s="7"/>
      <c r="H239" s="7"/>
      <c r="I239" s="7"/>
      <c r="J239" s="7"/>
      <c r="K239" s="7"/>
      <c r="L239" s="7"/>
      <c r="M239" s="7"/>
      <c r="N239" s="7"/>
      <c r="O239" s="7"/>
      <c r="P239" s="7"/>
      <c r="Q239" s="7"/>
      <c r="R239" s="7"/>
      <c r="S239" s="7"/>
      <c r="T239" s="7"/>
      <c r="U239" s="7"/>
      <c r="V239" s="7"/>
      <c r="W239" s="7"/>
      <c r="X239" s="7"/>
      <c r="Y239" s="7"/>
      <c r="Z239" s="7"/>
    </row>
    <row r="240" spans="1:26" x14ac:dyDescent="0.35">
      <c r="A240" s="7"/>
      <c r="B240" s="7"/>
      <c r="C240" s="1404"/>
      <c r="D240" s="17"/>
      <c r="E240" s="7"/>
      <c r="F240" s="1393"/>
      <c r="G240" s="7"/>
      <c r="H240" s="7"/>
      <c r="I240" s="7"/>
      <c r="J240" s="7"/>
      <c r="K240" s="7"/>
      <c r="L240" s="7"/>
      <c r="M240" s="7"/>
      <c r="N240" s="7"/>
      <c r="O240" s="7"/>
      <c r="P240" s="7"/>
      <c r="Q240" s="7"/>
      <c r="R240" s="7"/>
      <c r="S240" s="7"/>
      <c r="T240" s="7"/>
      <c r="U240" s="7"/>
      <c r="V240" s="7"/>
      <c r="W240" s="7"/>
      <c r="X240" s="7"/>
      <c r="Y240" s="7"/>
      <c r="Z240" s="7"/>
    </row>
    <row r="241" spans="1:26" x14ac:dyDescent="0.35">
      <c r="A241" s="7"/>
      <c r="B241" s="7"/>
      <c r="C241" s="1404"/>
      <c r="D241" s="17"/>
      <c r="E241" s="7"/>
      <c r="F241" s="1393"/>
      <c r="G241" s="7"/>
      <c r="H241" s="7"/>
      <c r="I241" s="7"/>
      <c r="J241" s="7"/>
      <c r="K241" s="7"/>
      <c r="L241" s="7"/>
      <c r="M241" s="7"/>
      <c r="N241" s="7"/>
      <c r="O241" s="7"/>
      <c r="P241" s="7"/>
      <c r="Q241" s="7"/>
      <c r="R241" s="7"/>
      <c r="S241" s="7"/>
      <c r="T241" s="7"/>
      <c r="U241" s="7"/>
      <c r="V241" s="7"/>
      <c r="W241" s="7"/>
      <c r="X241" s="7"/>
      <c r="Y241" s="7"/>
      <c r="Z241" s="7"/>
    </row>
    <row r="242" spans="1:26" x14ac:dyDescent="0.35">
      <c r="A242" s="7"/>
      <c r="B242" s="7"/>
      <c r="C242" s="1404"/>
      <c r="D242" s="17"/>
      <c r="E242" s="7"/>
      <c r="F242" s="1393"/>
      <c r="G242" s="7"/>
      <c r="H242" s="7"/>
      <c r="I242" s="7"/>
      <c r="J242" s="7"/>
      <c r="K242" s="7"/>
      <c r="L242" s="7"/>
      <c r="M242" s="7"/>
      <c r="N242" s="7"/>
      <c r="O242" s="7"/>
      <c r="P242" s="7"/>
      <c r="Q242" s="7"/>
      <c r="R242" s="7"/>
      <c r="S242" s="7"/>
      <c r="T242" s="7"/>
      <c r="U242" s="7"/>
      <c r="V242" s="7"/>
      <c r="W242" s="7"/>
      <c r="X242" s="7"/>
      <c r="Y242" s="7"/>
      <c r="Z242" s="7"/>
    </row>
    <row r="243" spans="1:26" x14ac:dyDescent="0.35">
      <c r="A243" s="7"/>
      <c r="B243" s="7"/>
      <c r="C243" s="1404"/>
      <c r="D243" s="17"/>
      <c r="E243" s="7"/>
      <c r="F243" s="1393"/>
      <c r="G243" s="7"/>
      <c r="H243" s="7"/>
      <c r="I243" s="7"/>
      <c r="J243" s="7"/>
      <c r="K243" s="7"/>
      <c r="L243" s="7"/>
      <c r="M243" s="7"/>
      <c r="N243" s="7"/>
      <c r="O243" s="7"/>
      <c r="P243" s="7"/>
      <c r="Q243" s="7"/>
      <c r="R243" s="7"/>
      <c r="S243" s="7"/>
      <c r="T243" s="7"/>
      <c r="U243" s="7"/>
      <c r="V243" s="7"/>
      <c r="W243" s="7"/>
      <c r="X243" s="7"/>
      <c r="Y243" s="7"/>
      <c r="Z243" s="7"/>
    </row>
    <row r="244" spans="1:26" x14ac:dyDescent="0.35">
      <c r="A244" s="7"/>
      <c r="B244" s="7"/>
      <c r="C244" s="1404"/>
      <c r="D244" s="17"/>
      <c r="E244" s="7"/>
      <c r="F244" s="1393"/>
      <c r="G244" s="7"/>
      <c r="H244" s="7"/>
      <c r="I244" s="7"/>
      <c r="J244" s="7"/>
      <c r="K244" s="7"/>
      <c r="L244" s="7"/>
      <c r="M244" s="7"/>
      <c r="N244" s="7"/>
      <c r="O244" s="7"/>
      <c r="P244" s="7"/>
      <c r="Q244" s="7"/>
      <c r="R244" s="7"/>
      <c r="S244" s="7"/>
      <c r="T244" s="7"/>
      <c r="U244" s="7"/>
      <c r="V244" s="7"/>
      <c r="W244" s="7"/>
      <c r="X244" s="7"/>
      <c r="Y244" s="7"/>
      <c r="Z244" s="7"/>
    </row>
    <row r="245" spans="1:26" x14ac:dyDescent="0.35">
      <c r="A245" s="7"/>
      <c r="B245" s="7"/>
      <c r="C245" s="1404"/>
      <c r="D245" s="17"/>
      <c r="E245" s="7"/>
      <c r="F245" s="1393"/>
      <c r="G245" s="7"/>
      <c r="H245" s="7"/>
      <c r="I245" s="7"/>
      <c r="J245" s="7"/>
      <c r="K245" s="7"/>
      <c r="L245" s="7"/>
      <c r="M245" s="7"/>
      <c r="N245" s="7"/>
      <c r="O245" s="7"/>
      <c r="P245" s="7"/>
      <c r="Q245" s="7"/>
      <c r="R245" s="7"/>
      <c r="S245" s="7"/>
      <c r="T245" s="7"/>
      <c r="U245" s="7"/>
      <c r="V245" s="7"/>
      <c r="W245" s="7"/>
      <c r="X245" s="7"/>
      <c r="Y245" s="7"/>
      <c r="Z245" s="7"/>
    </row>
    <row r="246" spans="1:26" x14ac:dyDescent="0.35">
      <c r="A246" s="7"/>
      <c r="B246" s="7"/>
      <c r="C246" s="1404"/>
      <c r="D246" s="17"/>
      <c r="E246" s="7"/>
      <c r="F246" s="1393"/>
      <c r="G246" s="7"/>
      <c r="H246" s="7"/>
      <c r="I246" s="7"/>
      <c r="J246" s="7"/>
      <c r="K246" s="7"/>
      <c r="L246" s="7"/>
      <c r="M246" s="7"/>
      <c r="N246" s="7"/>
      <c r="O246" s="7"/>
      <c r="P246" s="7"/>
      <c r="Q246" s="7"/>
      <c r="R246" s="7"/>
      <c r="S246" s="7"/>
      <c r="T246" s="7"/>
      <c r="U246" s="7"/>
      <c r="V246" s="7"/>
      <c r="W246" s="7"/>
      <c r="X246" s="7"/>
      <c r="Y246" s="7"/>
      <c r="Z246" s="7"/>
    </row>
    <row r="247" spans="1:26" x14ac:dyDescent="0.35">
      <c r="A247" s="7"/>
      <c r="B247" s="7"/>
      <c r="C247" s="1404"/>
      <c r="D247" s="17"/>
      <c r="E247" s="7"/>
      <c r="F247" s="1393"/>
      <c r="G247" s="7"/>
      <c r="H247" s="7"/>
      <c r="I247" s="7"/>
      <c r="J247" s="7"/>
      <c r="K247" s="7"/>
      <c r="L247" s="7"/>
      <c r="M247" s="7"/>
      <c r="N247" s="7"/>
      <c r="O247" s="7"/>
      <c r="P247" s="7"/>
      <c r="Q247" s="7"/>
      <c r="R247" s="7"/>
      <c r="S247" s="7"/>
      <c r="T247" s="7"/>
      <c r="U247" s="7"/>
      <c r="V247" s="7"/>
      <c r="W247" s="7"/>
      <c r="X247" s="7"/>
      <c r="Y247" s="7"/>
      <c r="Z247" s="7"/>
    </row>
    <row r="248" spans="1:26" x14ac:dyDescent="0.35">
      <c r="A248" s="7"/>
      <c r="B248" s="7"/>
      <c r="C248" s="1404"/>
      <c r="D248" s="17"/>
      <c r="E248" s="7"/>
      <c r="F248" s="1393"/>
      <c r="G248" s="7"/>
      <c r="H248" s="7"/>
      <c r="I248" s="7"/>
      <c r="J248" s="7"/>
      <c r="K248" s="7"/>
      <c r="L248" s="7"/>
      <c r="M248" s="7"/>
      <c r="N248" s="7"/>
      <c r="O248" s="7"/>
      <c r="P248" s="7"/>
      <c r="Q248" s="7"/>
      <c r="R248" s="7"/>
      <c r="S248" s="7"/>
      <c r="T248" s="7"/>
      <c r="U248" s="7"/>
      <c r="V248" s="7"/>
      <c r="W248" s="7"/>
      <c r="X248" s="7"/>
      <c r="Y248" s="7"/>
      <c r="Z248" s="7"/>
    </row>
    <row r="249" spans="1:26" x14ac:dyDescent="0.35">
      <c r="A249" s="7"/>
      <c r="B249" s="7"/>
      <c r="C249" s="1404"/>
      <c r="D249" s="17"/>
      <c r="E249" s="7"/>
      <c r="F249" s="1393"/>
      <c r="G249" s="7"/>
      <c r="H249" s="7"/>
      <c r="I249" s="7"/>
      <c r="J249" s="7"/>
      <c r="K249" s="7"/>
      <c r="L249" s="7"/>
      <c r="M249" s="7"/>
      <c r="N249" s="7"/>
      <c r="O249" s="7"/>
      <c r="P249" s="7"/>
      <c r="Q249" s="7"/>
      <c r="R249" s="7"/>
      <c r="S249" s="7"/>
      <c r="T249" s="7"/>
      <c r="U249" s="7"/>
      <c r="V249" s="7"/>
      <c r="W249" s="7"/>
      <c r="X249" s="7"/>
      <c r="Y249" s="7"/>
      <c r="Z249" s="7"/>
    </row>
    <row r="250" spans="1:26" x14ac:dyDescent="0.35">
      <c r="A250" s="7"/>
      <c r="B250" s="7"/>
      <c r="C250" s="1404"/>
      <c r="D250" s="17"/>
      <c r="E250" s="7"/>
      <c r="F250" s="1393"/>
      <c r="G250" s="7"/>
      <c r="H250" s="7"/>
      <c r="I250" s="7"/>
      <c r="J250" s="7"/>
      <c r="K250" s="7"/>
      <c r="L250" s="7"/>
      <c r="M250" s="7"/>
      <c r="N250" s="7"/>
      <c r="O250" s="7"/>
      <c r="P250" s="7"/>
      <c r="Q250" s="7"/>
      <c r="R250" s="7"/>
      <c r="S250" s="7"/>
      <c r="T250" s="7"/>
      <c r="U250" s="7"/>
      <c r="V250" s="7"/>
      <c r="W250" s="7"/>
      <c r="X250" s="7"/>
      <c r="Y250" s="7"/>
      <c r="Z250" s="7"/>
    </row>
    <row r="251" spans="1:26" x14ac:dyDescent="0.35">
      <c r="A251" s="7"/>
      <c r="B251" s="7"/>
      <c r="C251" s="1404"/>
      <c r="D251" s="17"/>
      <c r="E251" s="7"/>
      <c r="F251" s="1393"/>
      <c r="G251" s="7"/>
      <c r="H251" s="7"/>
      <c r="I251" s="7"/>
      <c r="J251" s="7"/>
      <c r="K251" s="7"/>
      <c r="L251" s="7"/>
      <c r="M251" s="7"/>
      <c r="N251" s="7"/>
      <c r="O251" s="7"/>
      <c r="P251" s="7"/>
      <c r="Q251" s="7"/>
      <c r="R251" s="7"/>
      <c r="S251" s="7"/>
      <c r="T251" s="7"/>
      <c r="U251" s="7"/>
      <c r="V251" s="7"/>
      <c r="W251" s="7"/>
      <c r="X251" s="7"/>
      <c r="Y251" s="7"/>
      <c r="Z251" s="7"/>
    </row>
    <row r="252" spans="1:26" x14ac:dyDescent="0.35">
      <c r="A252" s="7"/>
      <c r="B252" s="7"/>
      <c r="C252" s="1404"/>
      <c r="D252" s="17"/>
      <c r="E252" s="7"/>
      <c r="F252" s="1393"/>
      <c r="G252" s="7"/>
      <c r="H252" s="7"/>
      <c r="I252" s="7"/>
      <c r="J252" s="7"/>
      <c r="K252" s="7"/>
      <c r="L252" s="7"/>
      <c r="M252" s="7"/>
      <c r="N252" s="7"/>
      <c r="O252" s="7"/>
      <c r="P252" s="7"/>
      <c r="Q252" s="7"/>
      <c r="R252" s="7"/>
      <c r="S252" s="7"/>
      <c r="T252" s="7"/>
      <c r="U252" s="7"/>
      <c r="V252" s="7"/>
      <c r="W252" s="7"/>
      <c r="X252" s="7"/>
      <c r="Y252" s="7"/>
      <c r="Z252" s="7"/>
    </row>
    <row r="253" spans="1:26" x14ac:dyDescent="0.35">
      <c r="A253" s="7"/>
      <c r="B253" s="7"/>
      <c r="C253" s="1404"/>
      <c r="D253" s="17"/>
      <c r="E253" s="7"/>
      <c r="F253" s="1393"/>
      <c r="G253" s="7"/>
      <c r="H253" s="7"/>
      <c r="I253" s="7"/>
      <c r="J253" s="7"/>
      <c r="K253" s="7"/>
      <c r="L253" s="7"/>
      <c r="M253" s="7"/>
      <c r="N253" s="7"/>
      <c r="O253" s="7"/>
      <c r="P253" s="7"/>
      <c r="Q253" s="7"/>
      <c r="R253" s="7"/>
      <c r="S253" s="7"/>
      <c r="T253" s="7"/>
      <c r="U253" s="7"/>
      <c r="V253" s="7"/>
      <c r="W253" s="7"/>
      <c r="X253" s="7"/>
      <c r="Y253" s="7"/>
      <c r="Z253" s="7"/>
    </row>
    <row r="254" spans="1:26" x14ac:dyDescent="0.35">
      <c r="A254" s="7"/>
      <c r="B254" s="7"/>
      <c r="C254" s="1404"/>
      <c r="D254" s="17"/>
      <c r="E254" s="7"/>
      <c r="F254" s="1393"/>
      <c r="G254" s="7"/>
      <c r="H254" s="7"/>
      <c r="I254" s="7"/>
      <c r="J254" s="7"/>
      <c r="K254" s="7"/>
      <c r="L254" s="7"/>
      <c r="M254" s="7"/>
      <c r="N254" s="7"/>
      <c r="O254" s="7"/>
      <c r="P254" s="7"/>
      <c r="Q254" s="7"/>
      <c r="R254" s="7"/>
      <c r="S254" s="7"/>
      <c r="T254" s="7"/>
      <c r="U254" s="7"/>
      <c r="V254" s="7"/>
      <c r="W254" s="7"/>
      <c r="X254" s="7"/>
      <c r="Y254" s="7"/>
      <c r="Z254" s="7"/>
    </row>
    <row r="255" spans="1:26" x14ac:dyDescent="0.35">
      <c r="A255" s="7"/>
      <c r="B255" s="7"/>
      <c r="C255" s="1404"/>
      <c r="D255" s="17"/>
      <c r="E255" s="7"/>
      <c r="F255" s="1393"/>
      <c r="G255" s="7"/>
      <c r="H255" s="7"/>
      <c r="I255" s="7"/>
      <c r="J255" s="7"/>
      <c r="K255" s="7"/>
      <c r="L255" s="7"/>
      <c r="M255" s="7"/>
      <c r="N255" s="7"/>
      <c r="O255" s="7"/>
      <c r="P255" s="7"/>
      <c r="Q255" s="7"/>
      <c r="R255" s="7"/>
      <c r="S255" s="7"/>
      <c r="T255" s="7"/>
      <c r="U255" s="7"/>
      <c r="V255" s="7"/>
      <c r="W255" s="7"/>
      <c r="X255" s="7"/>
      <c r="Y255" s="7"/>
      <c r="Z255" s="7"/>
    </row>
    <row r="256" spans="1:26" x14ac:dyDescent="0.35">
      <c r="A256" s="7"/>
      <c r="B256" s="7"/>
      <c r="C256" s="1404"/>
      <c r="D256" s="17"/>
      <c r="E256" s="7"/>
      <c r="F256" s="1393"/>
      <c r="G256" s="7"/>
      <c r="H256" s="7"/>
      <c r="I256" s="7"/>
      <c r="J256" s="7"/>
      <c r="K256" s="7"/>
      <c r="L256" s="7"/>
      <c r="M256" s="7"/>
      <c r="N256" s="7"/>
      <c r="O256" s="7"/>
      <c r="P256" s="7"/>
      <c r="Q256" s="7"/>
      <c r="R256" s="7"/>
      <c r="S256" s="7"/>
      <c r="T256" s="7"/>
      <c r="U256" s="7"/>
      <c r="V256" s="7"/>
      <c r="W256" s="7"/>
      <c r="X256" s="7"/>
      <c r="Y256" s="7"/>
      <c r="Z256" s="7"/>
    </row>
    <row r="257" spans="1:26" x14ac:dyDescent="0.35">
      <c r="A257" s="7"/>
      <c r="B257" s="7"/>
      <c r="C257" s="1404"/>
      <c r="D257" s="17"/>
      <c r="E257" s="7"/>
      <c r="F257" s="1393"/>
      <c r="G257" s="7"/>
      <c r="H257" s="7"/>
      <c r="I257" s="7"/>
      <c r="J257" s="7"/>
      <c r="K257" s="7"/>
      <c r="L257" s="7"/>
      <c r="M257" s="7"/>
      <c r="N257" s="7"/>
      <c r="O257" s="7"/>
      <c r="P257" s="7"/>
      <c r="Q257" s="7"/>
      <c r="R257" s="7"/>
      <c r="S257" s="7"/>
      <c r="T257" s="7"/>
      <c r="U257" s="7"/>
      <c r="V257" s="7"/>
      <c r="W257" s="7"/>
      <c r="X257" s="7"/>
      <c r="Y257" s="7"/>
      <c r="Z257" s="7"/>
    </row>
    <row r="258" spans="1:26" x14ac:dyDescent="0.35">
      <c r="A258" s="7"/>
      <c r="B258" s="7"/>
      <c r="C258" s="1404"/>
      <c r="D258" s="17"/>
      <c r="E258" s="7"/>
      <c r="F258" s="1393"/>
      <c r="G258" s="7"/>
      <c r="H258" s="7"/>
      <c r="I258" s="7"/>
      <c r="J258" s="7"/>
      <c r="K258" s="7"/>
      <c r="L258" s="7"/>
      <c r="M258" s="7"/>
      <c r="N258" s="7"/>
      <c r="O258" s="7"/>
      <c r="P258" s="7"/>
      <c r="Q258" s="7"/>
      <c r="R258" s="7"/>
      <c r="S258" s="7"/>
      <c r="T258" s="7"/>
      <c r="U258" s="7"/>
      <c r="V258" s="7"/>
      <c r="W258" s="7"/>
      <c r="X258" s="7"/>
      <c r="Y258" s="7"/>
      <c r="Z258" s="7"/>
    </row>
    <row r="259" spans="1:26" x14ac:dyDescent="0.35">
      <c r="A259" s="7"/>
      <c r="B259" s="7"/>
      <c r="C259" s="1404"/>
      <c r="D259" s="17"/>
      <c r="E259" s="7"/>
      <c r="F259" s="1393"/>
      <c r="G259" s="7"/>
      <c r="H259" s="7"/>
      <c r="I259" s="7"/>
      <c r="J259" s="7"/>
      <c r="K259" s="7"/>
      <c r="L259" s="7"/>
      <c r="M259" s="7"/>
      <c r="N259" s="7"/>
      <c r="O259" s="7"/>
      <c r="P259" s="7"/>
      <c r="Q259" s="7"/>
      <c r="R259" s="7"/>
      <c r="S259" s="7"/>
      <c r="T259" s="7"/>
      <c r="U259" s="7"/>
      <c r="V259" s="7"/>
      <c r="W259" s="7"/>
      <c r="X259" s="7"/>
      <c r="Y259" s="7"/>
      <c r="Z259" s="7"/>
    </row>
    <row r="260" spans="1:26" x14ac:dyDescent="0.35">
      <c r="A260" s="7"/>
      <c r="B260" s="7"/>
      <c r="C260" s="1404"/>
      <c r="D260" s="17"/>
      <c r="E260" s="7"/>
      <c r="F260" s="1393"/>
      <c r="G260" s="7"/>
      <c r="H260" s="7"/>
      <c r="I260" s="7"/>
      <c r="J260" s="7"/>
      <c r="K260" s="7"/>
      <c r="L260" s="7"/>
      <c r="M260" s="7"/>
      <c r="N260" s="7"/>
      <c r="O260" s="7"/>
      <c r="P260" s="7"/>
      <c r="Q260" s="7"/>
      <c r="R260" s="7"/>
      <c r="S260" s="7"/>
      <c r="T260" s="7"/>
      <c r="U260" s="7"/>
      <c r="V260" s="7"/>
      <c r="W260" s="7"/>
      <c r="X260" s="7"/>
      <c r="Y260" s="7"/>
      <c r="Z260" s="7"/>
    </row>
    <row r="261" spans="1:26" x14ac:dyDescent="0.35">
      <c r="A261" s="7"/>
      <c r="B261" s="7"/>
      <c r="C261" s="1404"/>
      <c r="D261" s="17"/>
      <c r="E261" s="7"/>
      <c r="F261" s="1393"/>
      <c r="G261" s="7"/>
      <c r="H261" s="7"/>
      <c r="I261" s="7"/>
      <c r="J261" s="7"/>
      <c r="K261" s="7"/>
      <c r="L261" s="7"/>
      <c r="M261" s="7"/>
      <c r="N261" s="7"/>
      <c r="O261" s="7"/>
      <c r="P261" s="7"/>
      <c r="Q261" s="7"/>
      <c r="R261" s="7"/>
      <c r="S261" s="7"/>
      <c r="T261" s="7"/>
      <c r="U261" s="7"/>
      <c r="V261" s="7"/>
      <c r="W261" s="7"/>
      <c r="X261" s="7"/>
      <c r="Y261" s="7"/>
      <c r="Z261" s="7"/>
    </row>
    <row r="262" spans="1:26" x14ac:dyDescent="0.35">
      <c r="A262" s="7"/>
      <c r="B262" s="7"/>
      <c r="C262" s="1404"/>
      <c r="D262" s="17"/>
      <c r="E262" s="7"/>
      <c r="F262" s="1393"/>
      <c r="G262" s="7"/>
      <c r="H262" s="7"/>
      <c r="I262" s="7"/>
      <c r="J262" s="7"/>
      <c r="K262" s="7"/>
      <c r="L262" s="7"/>
      <c r="M262" s="7"/>
      <c r="N262" s="7"/>
      <c r="O262" s="7"/>
      <c r="P262" s="7"/>
      <c r="Q262" s="7"/>
      <c r="R262" s="7"/>
      <c r="S262" s="7"/>
      <c r="T262" s="7"/>
      <c r="U262" s="7"/>
      <c r="V262" s="7"/>
      <c r="W262" s="7"/>
      <c r="X262" s="7"/>
      <c r="Y262" s="7"/>
      <c r="Z262" s="7"/>
    </row>
    <row r="263" spans="1:26" x14ac:dyDescent="0.35">
      <c r="A263" s="7"/>
      <c r="B263" s="7"/>
      <c r="C263" s="1404"/>
      <c r="D263" s="17"/>
      <c r="E263" s="7"/>
      <c r="F263" s="1393"/>
      <c r="G263" s="7"/>
      <c r="H263" s="7"/>
      <c r="I263" s="7"/>
      <c r="J263" s="7"/>
      <c r="K263" s="7"/>
      <c r="L263" s="7"/>
      <c r="M263" s="7"/>
      <c r="N263" s="7"/>
      <c r="O263" s="7"/>
      <c r="P263" s="7"/>
      <c r="Q263" s="7"/>
      <c r="R263" s="7"/>
      <c r="S263" s="7"/>
      <c r="T263" s="7"/>
      <c r="U263" s="7"/>
      <c r="V263" s="7"/>
      <c r="W263" s="7"/>
      <c r="X263" s="7"/>
      <c r="Y263" s="7"/>
      <c r="Z263" s="7"/>
    </row>
    <row r="264" spans="1:26" x14ac:dyDescent="0.35">
      <c r="A264" s="7"/>
      <c r="B264" s="7"/>
      <c r="C264" s="1404"/>
      <c r="D264" s="17"/>
      <c r="E264" s="7"/>
      <c r="F264" s="1393"/>
      <c r="G264" s="7"/>
      <c r="H264" s="7"/>
      <c r="I264" s="7"/>
      <c r="J264" s="7"/>
      <c r="K264" s="7"/>
      <c r="L264" s="7"/>
      <c r="M264" s="7"/>
      <c r="N264" s="7"/>
      <c r="O264" s="7"/>
      <c r="P264" s="7"/>
      <c r="Q264" s="7"/>
      <c r="R264" s="7"/>
      <c r="S264" s="7"/>
      <c r="T264" s="7"/>
      <c r="U264" s="7"/>
      <c r="V264" s="7"/>
      <c r="W264" s="7"/>
      <c r="X264" s="7"/>
      <c r="Y264" s="7"/>
      <c r="Z264" s="7"/>
    </row>
    <row r="265" spans="1:26" x14ac:dyDescent="0.35">
      <c r="A265" s="7"/>
      <c r="B265" s="7"/>
      <c r="C265" s="1404"/>
      <c r="D265" s="17"/>
      <c r="E265" s="7"/>
      <c r="F265" s="1393"/>
      <c r="G265" s="7"/>
      <c r="H265" s="7"/>
      <c r="I265" s="7"/>
      <c r="J265" s="7"/>
      <c r="K265" s="7"/>
      <c r="L265" s="7"/>
      <c r="M265" s="7"/>
      <c r="N265" s="7"/>
      <c r="O265" s="7"/>
      <c r="P265" s="7"/>
      <c r="Q265" s="7"/>
      <c r="R265" s="7"/>
      <c r="S265" s="7"/>
      <c r="T265" s="7"/>
      <c r="U265" s="7"/>
      <c r="V265" s="7"/>
      <c r="W265" s="7"/>
      <c r="X265" s="7"/>
      <c r="Y265" s="7"/>
      <c r="Z265" s="7"/>
    </row>
    <row r="266" spans="1:26" x14ac:dyDescent="0.35">
      <c r="A266" s="7"/>
      <c r="B266" s="7"/>
      <c r="C266" s="1404"/>
      <c r="D266" s="17"/>
      <c r="E266" s="7"/>
      <c r="F266" s="1393"/>
      <c r="G266" s="7"/>
      <c r="H266" s="7"/>
      <c r="I266" s="7"/>
      <c r="J266" s="7"/>
      <c r="K266" s="7"/>
      <c r="L266" s="7"/>
      <c r="M266" s="7"/>
      <c r="N266" s="7"/>
      <c r="O266" s="7"/>
      <c r="P266" s="7"/>
      <c r="Q266" s="7"/>
      <c r="R266" s="7"/>
      <c r="S266" s="7"/>
      <c r="T266" s="7"/>
      <c r="U266" s="7"/>
      <c r="V266" s="7"/>
      <c r="W266" s="7"/>
      <c r="X266" s="7"/>
      <c r="Y266" s="7"/>
      <c r="Z266" s="7"/>
    </row>
    <row r="267" spans="1:26" x14ac:dyDescent="0.35">
      <c r="A267" s="7"/>
      <c r="B267" s="7"/>
      <c r="C267" s="1404"/>
      <c r="D267" s="17"/>
      <c r="E267" s="7"/>
      <c r="F267" s="1393"/>
      <c r="G267" s="7"/>
      <c r="H267" s="7"/>
      <c r="I267" s="7"/>
      <c r="J267" s="7"/>
      <c r="K267" s="7"/>
      <c r="L267" s="7"/>
      <c r="M267" s="7"/>
      <c r="N267" s="7"/>
      <c r="O267" s="7"/>
      <c r="P267" s="7"/>
      <c r="Q267" s="7"/>
      <c r="R267" s="7"/>
      <c r="S267" s="7"/>
      <c r="T267" s="7"/>
      <c r="U267" s="7"/>
      <c r="V267" s="7"/>
      <c r="W267" s="7"/>
      <c r="X267" s="7"/>
      <c r="Y267" s="7"/>
      <c r="Z267" s="7"/>
    </row>
    <row r="268" spans="1:26" x14ac:dyDescent="0.35">
      <c r="A268" s="7"/>
      <c r="B268" s="7"/>
      <c r="C268" s="1404"/>
      <c r="D268" s="17"/>
      <c r="E268" s="7"/>
      <c r="F268" s="1393"/>
      <c r="G268" s="7"/>
      <c r="H268" s="7"/>
      <c r="I268" s="7"/>
      <c r="J268" s="7"/>
      <c r="K268" s="7"/>
      <c r="L268" s="7"/>
      <c r="M268" s="7"/>
      <c r="N268" s="7"/>
      <c r="O268" s="7"/>
      <c r="P268" s="7"/>
      <c r="Q268" s="7"/>
      <c r="R268" s="7"/>
      <c r="S268" s="7"/>
      <c r="T268" s="7"/>
      <c r="U268" s="7"/>
      <c r="V268" s="7"/>
      <c r="W268" s="7"/>
      <c r="X268" s="7"/>
      <c r="Y268" s="7"/>
      <c r="Z268" s="7"/>
    </row>
    <row r="269" spans="1:26" x14ac:dyDescent="0.35">
      <c r="A269" s="7"/>
      <c r="B269" s="7"/>
      <c r="C269" s="1404"/>
      <c r="D269" s="17"/>
      <c r="E269" s="7"/>
      <c r="F269" s="1393"/>
      <c r="G269" s="7"/>
      <c r="H269" s="7"/>
      <c r="I269" s="7"/>
      <c r="J269" s="7"/>
      <c r="K269" s="7"/>
      <c r="L269" s="7"/>
      <c r="M269" s="7"/>
      <c r="N269" s="7"/>
      <c r="O269" s="7"/>
      <c r="P269" s="7"/>
      <c r="Q269" s="7"/>
      <c r="R269" s="7"/>
      <c r="S269" s="7"/>
      <c r="T269" s="7"/>
      <c r="U269" s="7"/>
      <c r="V269" s="7"/>
      <c r="W269" s="7"/>
      <c r="X269" s="7"/>
      <c r="Y269" s="7"/>
      <c r="Z269" s="7"/>
    </row>
    <row r="270" spans="1:26" x14ac:dyDescent="0.35">
      <c r="A270" s="7"/>
      <c r="B270" s="7"/>
      <c r="C270" s="1404"/>
      <c r="D270" s="17"/>
      <c r="E270" s="7"/>
      <c r="F270" s="1393"/>
      <c r="G270" s="7"/>
      <c r="H270" s="7"/>
      <c r="I270" s="7"/>
      <c r="J270" s="7"/>
      <c r="K270" s="7"/>
      <c r="L270" s="7"/>
      <c r="M270" s="7"/>
      <c r="N270" s="7"/>
      <c r="O270" s="7"/>
      <c r="P270" s="7"/>
      <c r="Q270" s="7"/>
      <c r="R270" s="7"/>
      <c r="S270" s="7"/>
      <c r="T270" s="7"/>
      <c r="U270" s="7"/>
      <c r="V270" s="7"/>
      <c r="W270" s="7"/>
      <c r="X270" s="7"/>
      <c r="Y270" s="7"/>
      <c r="Z270" s="7"/>
    </row>
    <row r="271" spans="1:26" x14ac:dyDescent="0.35">
      <c r="A271" s="7"/>
      <c r="B271" s="7"/>
      <c r="C271" s="1404"/>
      <c r="D271" s="17"/>
      <c r="E271" s="7"/>
      <c r="F271" s="1393"/>
      <c r="G271" s="7"/>
      <c r="H271" s="7"/>
      <c r="I271" s="7"/>
      <c r="J271" s="7"/>
      <c r="K271" s="7"/>
      <c r="L271" s="7"/>
      <c r="M271" s="7"/>
      <c r="N271" s="7"/>
      <c r="O271" s="7"/>
      <c r="P271" s="7"/>
      <c r="Q271" s="7"/>
      <c r="R271" s="7"/>
      <c r="S271" s="7"/>
      <c r="T271" s="7"/>
      <c r="U271" s="7"/>
      <c r="V271" s="7"/>
      <c r="W271" s="7"/>
      <c r="X271" s="7"/>
      <c r="Y271" s="7"/>
      <c r="Z271" s="7"/>
    </row>
    <row r="272" spans="1:26" x14ac:dyDescent="0.35">
      <c r="A272" s="7"/>
      <c r="B272" s="7"/>
      <c r="C272" s="1404"/>
      <c r="D272" s="17"/>
      <c r="E272" s="7"/>
      <c r="F272" s="1393"/>
      <c r="G272" s="7"/>
      <c r="H272" s="7"/>
      <c r="I272" s="7"/>
      <c r="J272" s="7"/>
      <c r="K272" s="7"/>
      <c r="L272" s="7"/>
      <c r="M272" s="7"/>
      <c r="N272" s="7"/>
      <c r="O272" s="7"/>
      <c r="P272" s="7"/>
      <c r="Q272" s="7"/>
      <c r="R272" s="7"/>
      <c r="S272" s="7"/>
      <c r="T272" s="7"/>
      <c r="U272" s="7"/>
      <c r="V272" s="7"/>
      <c r="W272" s="7"/>
      <c r="X272" s="7"/>
      <c r="Y272" s="7"/>
      <c r="Z272" s="7"/>
    </row>
    <row r="273" spans="1:26" x14ac:dyDescent="0.35">
      <c r="A273" s="7"/>
      <c r="B273" s="7"/>
      <c r="C273" s="1404"/>
      <c r="D273" s="17"/>
      <c r="E273" s="7"/>
      <c r="F273" s="1393"/>
      <c r="G273" s="7"/>
      <c r="H273" s="7"/>
      <c r="I273" s="7"/>
      <c r="J273" s="7"/>
      <c r="K273" s="7"/>
      <c r="L273" s="7"/>
      <c r="M273" s="7"/>
      <c r="N273" s="7"/>
      <c r="O273" s="7"/>
      <c r="P273" s="7"/>
      <c r="Q273" s="7"/>
      <c r="R273" s="7"/>
      <c r="S273" s="7"/>
      <c r="T273" s="7"/>
      <c r="U273" s="7"/>
      <c r="V273" s="7"/>
      <c r="W273" s="7"/>
      <c r="X273" s="7"/>
      <c r="Y273" s="7"/>
      <c r="Z273" s="7"/>
    </row>
    <row r="274" spans="1:26" x14ac:dyDescent="0.35">
      <c r="A274" s="7"/>
      <c r="B274" s="7"/>
      <c r="C274" s="1404"/>
      <c r="D274" s="17"/>
      <c r="E274" s="7"/>
      <c r="F274" s="1393"/>
      <c r="G274" s="7"/>
      <c r="H274" s="7"/>
      <c r="I274" s="7"/>
      <c r="J274" s="7"/>
      <c r="K274" s="7"/>
      <c r="L274" s="7"/>
      <c r="M274" s="7"/>
      <c r="N274" s="7"/>
      <c r="O274" s="7"/>
      <c r="P274" s="7"/>
      <c r="Q274" s="7"/>
      <c r="R274" s="7"/>
      <c r="S274" s="7"/>
      <c r="T274" s="7"/>
      <c r="U274" s="7"/>
      <c r="V274" s="7"/>
      <c r="W274" s="7"/>
      <c r="X274" s="7"/>
      <c r="Y274" s="7"/>
      <c r="Z274" s="7"/>
    </row>
    <row r="275" spans="1:26" x14ac:dyDescent="0.35">
      <c r="A275" s="7"/>
      <c r="B275" s="7"/>
      <c r="C275" s="1404"/>
      <c r="D275" s="17"/>
      <c r="E275" s="7"/>
      <c r="F275" s="1393"/>
      <c r="G275" s="7"/>
      <c r="H275" s="7"/>
      <c r="I275" s="7"/>
      <c r="J275" s="7"/>
      <c r="K275" s="7"/>
      <c r="L275" s="7"/>
      <c r="M275" s="7"/>
      <c r="N275" s="7"/>
      <c r="O275" s="7"/>
      <c r="P275" s="7"/>
      <c r="Q275" s="7"/>
      <c r="R275" s="7"/>
      <c r="S275" s="7"/>
      <c r="T275" s="7"/>
      <c r="U275" s="7"/>
      <c r="V275" s="7"/>
      <c r="W275" s="7"/>
      <c r="X275" s="7"/>
      <c r="Y275" s="7"/>
      <c r="Z275" s="7"/>
    </row>
    <row r="276" spans="1:26" x14ac:dyDescent="0.35">
      <c r="A276" s="7"/>
      <c r="B276" s="7"/>
      <c r="C276" s="1404"/>
      <c r="D276" s="17"/>
      <c r="E276" s="7"/>
      <c r="F276" s="1393"/>
      <c r="G276" s="7"/>
      <c r="H276" s="7"/>
      <c r="I276" s="7"/>
      <c r="J276" s="7"/>
      <c r="K276" s="7"/>
      <c r="L276" s="7"/>
      <c r="M276" s="7"/>
      <c r="N276" s="7"/>
      <c r="O276" s="7"/>
      <c r="P276" s="7"/>
      <c r="Q276" s="7"/>
      <c r="R276" s="7"/>
      <c r="S276" s="7"/>
      <c r="T276" s="7"/>
      <c r="U276" s="7"/>
      <c r="V276" s="7"/>
      <c r="W276" s="7"/>
      <c r="X276" s="7"/>
      <c r="Y276" s="7"/>
      <c r="Z276" s="7"/>
    </row>
    <row r="277" spans="1:26" x14ac:dyDescent="0.35">
      <c r="A277" s="7"/>
      <c r="B277" s="7"/>
      <c r="C277" s="1404"/>
      <c r="D277" s="17"/>
      <c r="E277" s="7"/>
      <c r="F277" s="1393"/>
      <c r="G277" s="7"/>
      <c r="H277" s="7"/>
      <c r="I277" s="7"/>
      <c r="J277" s="7"/>
      <c r="K277" s="7"/>
      <c r="L277" s="7"/>
      <c r="M277" s="7"/>
      <c r="N277" s="7"/>
      <c r="O277" s="7"/>
      <c r="P277" s="7"/>
      <c r="Q277" s="7"/>
      <c r="R277" s="7"/>
      <c r="S277" s="7"/>
      <c r="T277" s="7"/>
      <c r="U277" s="7"/>
      <c r="V277" s="7"/>
      <c r="W277" s="7"/>
      <c r="X277" s="7"/>
      <c r="Y277" s="7"/>
      <c r="Z277" s="7"/>
    </row>
    <row r="278" spans="1:26" x14ac:dyDescent="0.35">
      <c r="A278" s="7"/>
      <c r="B278" s="7"/>
      <c r="C278" s="1404"/>
      <c r="D278" s="17"/>
      <c r="E278" s="7"/>
      <c r="F278" s="1393"/>
      <c r="G278" s="7"/>
      <c r="H278" s="7"/>
      <c r="I278" s="7"/>
      <c r="J278" s="7"/>
      <c r="K278" s="7"/>
      <c r="L278" s="7"/>
      <c r="M278" s="7"/>
      <c r="N278" s="7"/>
      <c r="O278" s="7"/>
      <c r="P278" s="7"/>
      <c r="Q278" s="7"/>
      <c r="R278" s="7"/>
      <c r="S278" s="7"/>
      <c r="T278" s="7"/>
      <c r="U278" s="7"/>
      <c r="V278" s="7"/>
      <c r="W278" s="7"/>
      <c r="X278" s="7"/>
      <c r="Y278" s="7"/>
      <c r="Z278" s="7"/>
    </row>
    <row r="279" spans="1:26" x14ac:dyDescent="0.35">
      <c r="A279" s="7"/>
      <c r="B279" s="7"/>
      <c r="C279" s="1404"/>
      <c r="D279" s="17"/>
      <c r="E279" s="7"/>
      <c r="F279" s="1393"/>
      <c r="G279" s="7"/>
      <c r="H279" s="7"/>
      <c r="I279" s="7"/>
      <c r="J279" s="7"/>
      <c r="K279" s="7"/>
      <c r="L279" s="7"/>
      <c r="M279" s="7"/>
      <c r="N279" s="7"/>
      <c r="O279" s="7"/>
      <c r="P279" s="7"/>
      <c r="Q279" s="7"/>
      <c r="R279" s="7"/>
      <c r="S279" s="7"/>
      <c r="T279" s="7"/>
      <c r="U279" s="7"/>
      <c r="V279" s="7"/>
      <c r="W279" s="7"/>
      <c r="X279" s="7"/>
      <c r="Y279" s="7"/>
      <c r="Z279" s="7"/>
    </row>
    <row r="280" spans="1:26" x14ac:dyDescent="0.35">
      <c r="A280" s="7"/>
      <c r="B280" s="7"/>
      <c r="C280" s="1404"/>
      <c r="D280" s="17"/>
      <c r="E280" s="7"/>
      <c r="F280" s="1393"/>
      <c r="G280" s="7"/>
      <c r="H280" s="7"/>
      <c r="I280" s="7"/>
      <c r="J280" s="7"/>
      <c r="K280" s="7"/>
      <c r="L280" s="7"/>
      <c r="M280" s="7"/>
      <c r="N280" s="7"/>
      <c r="O280" s="7"/>
      <c r="P280" s="7"/>
      <c r="Q280" s="7"/>
      <c r="R280" s="7"/>
      <c r="S280" s="7"/>
      <c r="T280" s="7"/>
      <c r="U280" s="7"/>
      <c r="V280" s="7"/>
      <c r="W280" s="7"/>
      <c r="X280" s="7"/>
      <c r="Y280" s="7"/>
      <c r="Z280" s="7"/>
    </row>
    <row r="281" spans="1:26" x14ac:dyDescent="0.35">
      <c r="A281" s="7"/>
      <c r="B281" s="7"/>
      <c r="C281" s="1404"/>
      <c r="D281" s="17"/>
      <c r="E281" s="7"/>
      <c r="F281" s="1393"/>
      <c r="G281" s="7"/>
      <c r="H281" s="7"/>
      <c r="I281" s="7"/>
      <c r="J281" s="7"/>
      <c r="K281" s="7"/>
      <c r="L281" s="7"/>
      <c r="M281" s="7"/>
      <c r="N281" s="7"/>
      <c r="O281" s="7"/>
      <c r="P281" s="7"/>
      <c r="Q281" s="7"/>
      <c r="R281" s="7"/>
      <c r="S281" s="7"/>
      <c r="T281" s="7"/>
      <c r="U281" s="7"/>
      <c r="V281" s="7"/>
      <c r="W281" s="7"/>
      <c r="X281" s="7"/>
      <c r="Y281" s="7"/>
      <c r="Z281" s="7"/>
    </row>
    <row r="282" spans="1:26" x14ac:dyDescent="0.35">
      <c r="A282" s="7"/>
      <c r="B282" s="7"/>
      <c r="C282" s="1404"/>
      <c r="D282" s="17"/>
      <c r="E282" s="7"/>
      <c r="F282" s="1393"/>
      <c r="G282" s="7"/>
      <c r="H282" s="7"/>
      <c r="I282" s="7"/>
      <c r="J282" s="7"/>
      <c r="K282" s="7"/>
      <c r="L282" s="7"/>
      <c r="M282" s="7"/>
      <c r="N282" s="7"/>
      <c r="O282" s="7"/>
      <c r="P282" s="7"/>
      <c r="Q282" s="7"/>
      <c r="R282" s="7"/>
      <c r="S282" s="7"/>
      <c r="T282" s="7"/>
      <c r="U282" s="7"/>
      <c r="V282" s="7"/>
      <c r="W282" s="7"/>
      <c r="X282" s="7"/>
      <c r="Y282" s="7"/>
      <c r="Z282" s="7"/>
    </row>
    <row r="283" spans="1:26" x14ac:dyDescent="0.35">
      <c r="A283" s="7"/>
      <c r="B283" s="7"/>
      <c r="C283" s="1404"/>
      <c r="D283" s="17"/>
      <c r="E283" s="7"/>
      <c r="F283" s="1393"/>
      <c r="G283" s="7"/>
      <c r="H283" s="7"/>
      <c r="I283" s="7"/>
      <c r="J283" s="7"/>
      <c r="K283" s="7"/>
      <c r="L283" s="7"/>
      <c r="M283" s="7"/>
      <c r="N283" s="7"/>
      <c r="O283" s="7"/>
      <c r="P283" s="7"/>
      <c r="Q283" s="7"/>
      <c r="R283" s="7"/>
      <c r="S283" s="7"/>
      <c r="T283" s="7"/>
      <c r="U283" s="7"/>
      <c r="V283" s="7"/>
      <c r="W283" s="7"/>
      <c r="X283" s="7"/>
      <c r="Y283" s="7"/>
      <c r="Z283" s="7"/>
    </row>
    <row r="284" spans="1:26" x14ac:dyDescent="0.35">
      <c r="A284" s="7"/>
      <c r="B284" s="7"/>
      <c r="C284" s="1404"/>
      <c r="D284" s="17"/>
      <c r="E284" s="7"/>
      <c r="F284" s="1393"/>
      <c r="G284" s="7"/>
      <c r="H284" s="7"/>
      <c r="I284" s="7"/>
      <c r="J284" s="7"/>
      <c r="K284" s="7"/>
      <c r="L284" s="7"/>
      <c r="M284" s="7"/>
      <c r="N284" s="7"/>
      <c r="O284" s="7"/>
      <c r="P284" s="7"/>
      <c r="Q284" s="7"/>
      <c r="R284" s="7"/>
      <c r="S284" s="7"/>
      <c r="T284" s="7"/>
      <c r="U284" s="7"/>
      <c r="V284" s="7"/>
      <c r="W284" s="7"/>
      <c r="X284" s="7"/>
      <c r="Y284" s="7"/>
      <c r="Z284" s="7"/>
    </row>
    <row r="285" spans="1:26" x14ac:dyDescent="0.35">
      <c r="A285" s="7"/>
      <c r="B285" s="7"/>
      <c r="C285" s="1404"/>
      <c r="D285" s="17"/>
      <c r="E285" s="7"/>
      <c r="F285" s="1393"/>
      <c r="G285" s="7"/>
      <c r="H285" s="7"/>
      <c r="I285" s="7"/>
      <c r="J285" s="7"/>
      <c r="K285" s="7"/>
      <c r="L285" s="7"/>
      <c r="M285" s="7"/>
      <c r="N285" s="7"/>
      <c r="O285" s="7"/>
      <c r="P285" s="7"/>
      <c r="Q285" s="7"/>
      <c r="R285" s="7"/>
      <c r="S285" s="7"/>
      <c r="T285" s="7"/>
      <c r="U285" s="7"/>
      <c r="V285" s="7"/>
      <c r="W285" s="7"/>
      <c r="X285" s="7"/>
      <c r="Y285" s="7"/>
      <c r="Z285" s="7"/>
    </row>
    <row r="286" spans="1:26" x14ac:dyDescent="0.35">
      <c r="A286" s="7"/>
      <c r="B286" s="7"/>
      <c r="C286" s="1404"/>
      <c r="D286" s="17"/>
      <c r="E286" s="7"/>
      <c r="F286" s="1393"/>
      <c r="G286" s="7"/>
      <c r="H286" s="7"/>
      <c r="I286" s="7"/>
      <c r="J286" s="7"/>
      <c r="K286" s="7"/>
      <c r="L286" s="7"/>
      <c r="M286" s="7"/>
      <c r="N286" s="7"/>
      <c r="O286" s="7"/>
      <c r="P286" s="7"/>
      <c r="Q286" s="7"/>
      <c r="R286" s="7"/>
      <c r="S286" s="7"/>
      <c r="T286" s="7"/>
      <c r="U286" s="7"/>
      <c r="V286" s="7"/>
      <c r="W286" s="7"/>
      <c r="X286" s="7"/>
      <c r="Y286" s="7"/>
      <c r="Z286" s="7"/>
    </row>
    <row r="287" spans="1:26" x14ac:dyDescent="0.35">
      <c r="A287" s="7"/>
      <c r="B287" s="7"/>
      <c r="C287" s="1404"/>
      <c r="D287" s="17"/>
      <c r="E287" s="7"/>
      <c r="F287" s="1393"/>
      <c r="G287" s="7"/>
      <c r="H287" s="7"/>
      <c r="I287" s="7"/>
      <c r="J287" s="7"/>
      <c r="K287" s="7"/>
      <c r="L287" s="7"/>
      <c r="M287" s="7"/>
      <c r="N287" s="7"/>
      <c r="O287" s="7"/>
      <c r="P287" s="7"/>
      <c r="Q287" s="7"/>
      <c r="R287" s="7"/>
      <c r="S287" s="7"/>
      <c r="T287" s="7"/>
      <c r="U287" s="7"/>
      <c r="V287" s="7"/>
      <c r="W287" s="7"/>
      <c r="X287" s="7"/>
      <c r="Y287" s="7"/>
      <c r="Z287" s="7"/>
    </row>
  </sheetData>
  <sheetProtection algorithmName="SHA-512" hashValue="dTa2OwXSa/UVN7lVzUt9L8IOU/MIY/twDs4PIpgLUq5szBr9d2CflaNqNtpWBQDgjHp/WGju+T3vZQyF5B9Gqg==" saltValue="Few/XMRjVMDHqvQ3a76oow==" spinCount="100000" sheet="1" objects="1" scenarios="1"/>
  <mergeCells count="1">
    <mergeCell ref="B2:F2"/>
  </mergeCells>
  <printOptions horizontalCentered="1"/>
  <pageMargins left="0.7" right="0.7" top="0.75" bottom="0.75" header="0" footer="0"/>
  <pageSetup scale="85" fitToHeight="2" orientation="portrait" r:id="rId1"/>
  <headerFooter>
    <oddFooter>&amp;L&amp;A&amp;RPage &amp;P of &amp;N</oddFooter>
  </headerFooter>
  <rowBreaks count="1" manualBreakCount="1">
    <brk id="51" min="1" max="5"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outlinePr summaryBelow="0" summaryRight="0"/>
  </sheetPr>
  <dimension ref="A1:AC1026"/>
  <sheetViews>
    <sheetView topLeftCell="B13" workbookViewId="0">
      <selection activeCell="N30" sqref="N30"/>
    </sheetView>
  </sheetViews>
  <sheetFormatPr defaultColWidth="14.453125" defaultRowHeight="15" customHeight="1" x14ac:dyDescent="0.35"/>
  <cols>
    <col min="1" max="1" width="4.90625" style="332" customWidth="1"/>
    <col min="2" max="2" width="64.453125" style="332" bestFit="1" customWidth="1"/>
    <col min="3" max="3" width="2.6328125" style="332" customWidth="1"/>
    <col min="4" max="4" width="11.54296875" style="1475" customWidth="1"/>
    <col min="5" max="5" width="17.453125" style="332" customWidth="1"/>
    <col min="6" max="6" width="13" style="1465" customWidth="1"/>
    <col min="7" max="7" width="8.6328125" style="332" customWidth="1"/>
    <col min="8" max="8" width="5.6328125" style="332" customWidth="1"/>
    <col min="9" max="9" width="7.36328125" style="329" bestFit="1" customWidth="1"/>
    <col min="10" max="10" width="8.36328125" style="329" bestFit="1" customWidth="1"/>
    <col min="11" max="11" width="4.6328125" style="329" bestFit="1" customWidth="1"/>
    <col min="12" max="12" width="30.6328125" style="329" customWidth="1"/>
    <col min="13" max="13" width="30.6328125" style="333" customWidth="1"/>
    <col min="14" max="14" width="10.36328125" style="333" customWidth="1"/>
    <col min="15" max="15" width="5.6328125" style="329" customWidth="1"/>
    <col min="16" max="16" width="12" style="329" customWidth="1"/>
    <col min="17" max="17" width="8.6328125" style="329" customWidth="1"/>
    <col min="18" max="18" width="9.6328125" style="329" customWidth="1"/>
    <col min="19" max="19" width="14.36328125" style="329" customWidth="1"/>
    <col min="20" max="20" width="8.6328125" style="329" customWidth="1"/>
    <col min="21" max="21" width="13" style="329" customWidth="1"/>
    <col min="22" max="22" width="8.6328125" style="329" customWidth="1"/>
    <col min="23" max="23" width="12.6328125" style="329" customWidth="1"/>
    <col min="24" max="25" width="8.6328125" style="329" customWidth="1"/>
    <col min="26" max="16384" width="14.453125" style="329"/>
  </cols>
  <sheetData>
    <row r="1" spans="1:29" ht="31.5" customHeight="1" x14ac:dyDescent="0.35">
      <c r="A1" s="3"/>
      <c r="B1" s="3"/>
      <c r="C1" s="1426"/>
      <c r="D1" s="1467" t="s">
        <v>141</v>
      </c>
      <c r="E1" s="479" t="s">
        <v>513</v>
      </c>
      <c r="F1" s="1456" t="s">
        <v>514</v>
      </c>
      <c r="G1" s="18"/>
      <c r="H1" s="20"/>
      <c r="I1" s="21"/>
      <c r="J1" s="21"/>
      <c r="K1" s="21"/>
      <c r="L1" s="19" t="s">
        <v>515</v>
      </c>
      <c r="M1" s="21"/>
      <c r="N1" s="21"/>
      <c r="O1" s="19"/>
      <c r="P1" s="19"/>
      <c r="Q1" s="19"/>
      <c r="R1" s="19"/>
      <c r="S1" s="19"/>
      <c r="T1" s="19"/>
      <c r="U1" s="19"/>
      <c r="V1" s="19"/>
      <c r="W1" s="19"/>
      <c r="X1" s="19"/>
      <c r="Y1" s="19"/>
      <c r="Z1" s="19"/>
      <c r="AA1" s="19"/>
      <c r="AB1" s="19"/>
      <c r="AC1" s="19"/>
    </row>
    <row r="2" spans="1:29" ht="5.25" customHeight="1" x14ac:dyDescent="0.5">
      <c r="A2" s="335"/>
      <c r="B2" s="1430"/>
      <c r="C2" s="1430"/>
      <c r="D2" s="1468"/>
      <c r="E2" s="1431"/>
      <c r="F2" s="1457"/>
      <c r="G2" s="476"/>
      <c r="H2" s="2"/>
      <c r="I2" s="23"/>
      <c r="J2" s="23"/>
      <c r="K2" s="23"/>
      <c r="L2" s="22"/>
      <c r="M2" s="23"/>
      <c r="N2" s="23"/>
      <c r="O2" s="22"/>
      <c r="P2" s="22"/>
      <c r="Q2" s="22"/>
      <c r="R2" s="22"/>
      <c r="S2" s="22"/>
      <c r="T2" s="22"/>
      <c r="U2" s="22"/>
      <c r="V2" s="22"/>
      <c r="W2" s="22"/>
      <c r="X2" s="22"/>
      <c r="Y2" s="22"/>
      <c r="Z2" s="22"/>
      <c r="AA2" s="22"/>
      <c r="AB2" s="22"/>
      <c r="AC2" s="22"/>
    </row>
    <row r="3" spans="1:29" ht="45.75" customHeight="1" x14ac:dyDescent="0.35">
      <c r="A3" s="335"/>
      <c r="B3" s="4" t="s">
        <v>516</v>
      </c>
      <c r="C3" s="1432"/>
      <c r="D3" s="1468"/>
      <c r="E3" s="1431"/>
      <c r="F3" s="1458"/>
      <c r="G3" s="476"/>
      <c r="H3" s="2"/>
      <c r="I3" s="23"/>
      <c r="J3" s="23"/>
      <c r="K3" s="23"/>
      <c r="L3" s="22"/>
      <c r="M3" s="23"/>
      <c r="N3" s="23"/>
      <c r="O3" s="22"/>
      <c r="P3" s="22"/>
      <c r="Q3" s="22"/>
      <c r="R3" s="22"/>
      <c r="S3" s="22"/>
      <c r="T3" s="22"/>
      <c r="U3" s="22"/>
      <c r="V3" s="22"/>
      <c r="W3" s="22"/>
      <c r="X3" s="22"/>
      <c r="Y3" s="22"/>
      <c r="Z3" s="22"/>
      <c r="AA3" s="22"/>
      <c r="AB3" s="22"/>
      <c r="AC3" s="22"/>
    </row>
    <row r="4" spans="1:29" ht="14.5" x14ac:dyDescent="0.35">
      <c r="A4" s="335"/>
      <c r="B4" s="1430"/>
      <c r="C4" s="1432"/>
      <c r="D4" s="1468"/>
      <c r="E4" s="1433"/>
      <c r="F4" s="1459"/>
      <c r="G4" s="1427"/>
      <c r="H4" s="2"/>
      <c r="I4" s="23"/>
      <c r="J4" s="23"/>
      <c r="K4" s="23"/>
      <c r="L4" s="22"/>
      <c r="M4" s="23"/>
      <c r="N4" s="23"/>
      <c r="O4" s="22"/>
      <c r="P4" s="22"/>
      <c r="Q4" s="22"/>
      <c r="R4" s="22"/>
      <c r="S4" s="22"/>
      <c r="T4" s="22"/>
      <c r="U4" s="22"/>
      <c r="V4" s="22"/>
      <c r="W4" s="22"/>
      <c r="X4" s="22"/>
      <c r="Y4" s="22"/>
      <c r="Z4" s="22"/>
      <c r="AA4" s="22"/>
      <c r="AB4" s="22"/>
      <c r="AC4" s="22"/>
    </row>
    <row r="5" spans="1:29" ht="14.5" x14ac:dyDescent="0.35">
      <c r="A5" s="1443" t="str">
        <f>'02 Community'!B1</f>
        <v>2 - Design for Equitable Communities</v>
      </c>
      <c r="B5" s="1444"/>
      <c r="C5" s="1445"/>
      <c r="D5" s="1469"/>
      <c r="E5" s="1424"/>
      <c r="F5" s="1460"/>
      <c r="G5" s="1427"/>
      <c r="P5" s="408"/>
      <c r="Q5" s="22"/>
      <c r="R5" s="22"/>
      <c r="S5" s="22"/>
      <c r="T5" s="22"/>
      <c r="U5" s="22"/>
      <c r="V5" s="22"/>
      <c r="W5" s="22"/>
      <c r="X5" s="22"/>
      <c r="Y5" s="22"/>
      <c r="Z5" s="22"/>
      <c r="AA5" s="22"/>
      <c r="AB5" s="22"/>
      <c r="AC5" s="22"/>
    </row>
    <row r="6" spans="1:29" ht="14.5" x14ac:dyDescent="0.35">
      <c r="A6" s="335"/>
      <c r="B6" s="335" t="str">
        <f>'02 Community'!E13</f>
        <v>10-yr Social Cost of Carbon</v>
      </c>
      <c r="C6" s="335"/>
      <c r="D6" s="1470"/>
      <c r="E6" s="1423">
        <f>'02 Community'!F13</f>
        <v>0</v>
      </c>
      <c r="F6" s="1461" t="s">
        <v>776</v>
      </c>
      <c r="G6" s="476"/>
      <c r="H6" s="427" t="s">
        <v>517</v>
      </c>
      <c r="I6" s="428"/>
      <c r="J6" s="429"/>
      <c r="K6" s="429"/>
      <c r="L6" s="429"/>
      <c r="M6" s="433"/>
      <c r="N6" s="433"/>
      <c r="O6" s="430"/>
      <c r="P6" s="2"/>
      <c r="Q6" s="22"/>
      <c r="R6" s="22"/>
      <c r="S6" s="22"/>
      <c r="T6" s="22"/>
      <c r="U6" s="22"/>
      <c r="V6" s="22"/>
      <c r="W6" s="22"/>
      <c r="X6" s="22"/>
      <c r="Y6" s="22"/>
      <c r="Z6" s="22"/>
      <c r="AA6" s="22"/>
      <c r="AB6" s="22"/>
      <c r="AC6" s="22"/>
    </row>
    <row r="7" spans="1:29" ht="14.4" customHeight="1" x14ac:dyDescent="0.4">
      <c r="A7" s="335"/>
      <c r="B7" s="335" t="str">
        <f>'02 Community'!E14</f>
        <v>10-yr Social Cost of Carbon Intensity</v>
      </c>
      <c r="C7" s="335"/>
      <c r="D7" s="1470"/>
      <c r="E7" s="1423">
        <f>'02 Community'!F14</f>
        <v>0</v>
      </c>
      <c r="F7" s="1461" t="s">
        <v>1172</v>
      </c>
      <c r="G7" s="447"/>
      <c r="H7" s="419"/>
      <c r="I7" s="418"/>
      <c r="J7" s="418"/>
      <c r="K7" s="418"/>
      <c r="L7" s="418"/>
      <c r="M7" s="432"/>
      <c r="N7" s="432"/>
      <c r="O7" s="420"/>
      <c r="P7" s="2"/>
      <c r="Q7" s="22"/>
      <c r="R7" s="22"/>
      <c r="S7" s="22"/>
      <c r="T7" s="22"/>
      <c r="U7" s="22"/>
      <c r="V7" s="22"/>
      <c r="W7" s="22"/>
      <c r="X7" s="22"/>
      <c r="Y7" s="22"/>
      <c r="Z7" s="22"/>
      <c r="AA7" s="22"/>
      <c r="AB7" s="22"/>
      <c r="AC7" s="22"/>
    </row>
    <row r="8" spans="1:29" ht="14.5" x14ac:dyDescent="0.35">
      <c r="A8" s="335"/>
      <c r="B8" s="335" t="str">
        <f>'02 Community'!E19</f>
        <v>Walk Score</v>
      </c>
      <c r="C8" s="335"/>
      <c r="D8" s="1477">
        <v>0</v>
      </c>
      <c r="E8" s="1479">
        <f>Walk_Score</f>
        <v>0</v>
      </c>
      <c r="F8" s="1478">
        <v>100</v>
      </c>
      <c r="G8" s="335"/>
      <c r="H8" s="415"/>
      <c r="I8" s="1813"/>
      <c r="J8" s="1813"/>
      <c r="K8" s="1813"/>
      <c r="L8" s="1813"/>
      <c r="M8" s="1813"/>
      <c r="N8" s="1813"/>
      <c r="O8" s="414"/>
      <c r="P8" s="2"/>
      <c r="Q8" s="22"/>
      <c r="R8" s="22"/>
      <c r="S8" s="22"/>
      <c r="T8" s="22"/>
      <c r="U8" s="22"/>
      <c r="V8" s="22"/>
      <c r="W8" s="22"/>
      <c r="X8" s="22"/>
      <c r="Y8" s="22"/>
      <c r="Z8" s="22"/>
      <c r="AA8" s="22"/>
      <c r="AB8" s="22"/>
      <c r="AC8" s="22"/>
    </row>
    <row r="9" spans="1:29" ht="14.5" x14ac:dyDescent="0.35">
      <c r="A9" s="335"/>
      <c r="B9" s="335" t="str">
        <f>'02 Community'!E20</f>
        <v>Transit Score</v>
      </c>
      <c r="C9" s="335"/>
      <c r="D9" s="1477">
        <v>0</v>
      </c>
      <c r="E9" s="1479">
        <f>Transit_Score</f>
        <v>0</v>
      </c>
      <c r="F9" s="1478">
        <v>100</v>
      </c>
      <c r="G9" s="335"/>
      <c r="H9" s="415"/>
      <c r="I9" s="1813"/>
      <c r="J9" s="1813"/>
      <c r="K9" s="1813"/>
      <c r="L9" s="1813"/>
      <c r="M9" s="1813"/>
      <c r="N9" s="1813"/>
      <c r="O9" s="414"/>
      <c r="P9" s="2"/>
      <c r="Q9" s="22"/>
      <c r="R9" s="22"/>
      <c r="S9" s="22"/>
      <c r="T9" s="22"/>
      <c r="U9" s="22"/>
      <c r="V9" s="22"/>
      <c r="W9" s="22"/>
      <c r="X9" s="22"/>
      <c r="Y9" s="22"/>
      <c r="Z9" s="22"/>
      <c r="AA9" s="22"/>
      <c r="AB9" s="22"/>
      <c r="AC9" s="22"/>
    </row>
    <row r="10" spans="1:29" ht="14.5" x14ac:dyDescent="0.35">
      <c r="A10" s="335"/>
      <c r="B10" s="335" t="str">
        <f>'02 Community'!E21</f>
        <v>Bike Score</v>
      </c>
      <c r="C10" s="335"/>
      <c r="D10" s="1477">
        <v>0</v>
      </c>
      <c r="E10" s="1479">
        <f>Bike_Score</f>
        <v>0</v>
      </c>
      <c r="F10" s="1478">
        <v>100</v>
      </c>
      <c r="G10" s="335"/>
      <c r="H10" s="415"/>
      <c r="I10" s="1813"/>
      <c r="J10" s="1813"/>
      <c r="K10" s="1813"/>
      <c r="L10" s="1813"/>
      <c r="M10" s="1813"/>
      <c r="N10" s="1813"/>
      <c r="O10" s="414"/>
      <c r="P10" s="2"/>
      <c r="Q10" s="22"/>
      <c r="R10" s="22"/>
      <c r="S10" s="22"/>
      <c r="T10" s="22"/>
      <c r="U10" s="22"/>
      <c r="V10" s="22"/>
      <c r="W10" s="22"/>
      <c r="X10" s="22"/>
      <c r="Y10" s="22"/>
      <c r="Z10" s="22"/>
      <c r="AA10" s="22"/>
      <c r="AB10" s="22"/>
      <c r="AC10" s="22"/>
    </row>
    <row r="11" spans="1:29" ht="14.5" x14ac:dyDescent="0.35">
      <c r="A11" s="335"/>
      <c r="B11" s="335" t="str">
        <f>'02 Community'!E38</f>
        <v>Transportation Carbon Percent Reduction</v>
      </c>
      <c r="C11" s="335"/>
      <c r="D11" s="1471">
        <v>0</v>
      </c>
      <c r="E11" s="412">
        <f>Percent_Reduction_Transportation_Carbon</f>
        <v>0</v>
      </c>
      <c r="F11" s="1462">
        <v>1</v>
      </c>
      <c r="G11" s="335"/>
      <c r="H11" s="415"/>
      <c r="I11" s="1813"/>
      <c r="J11" s="1813"/>
      <c r="K11" s="1813"/>
      <c r="L11" s="1813"/>
      <c r="M11" s="1813"/>
      <c r="N11" s="1813"/>
      <c r="O11" s="414"/>
      <c r="P11" s="2"/>
      <c r="Q11" s="22"/>
      <c r="R11" s="22"/>
      <c r="S11" s="22"/>
      <c r="T11" s="22"/>
      <c r="U11" s="22"/>
      <c r="V11" s="22"/>
      <c r="W11" s="22"/>
      <c r="X11" s="22"/>
      <c r="Y11" s="22"/>
      <c r="Z11" s="22"/>
      <c r="AA11" s="22"/>
      <c r="AB11" s="22"/>
      <c r="AC11" s="22"/>
    </row>
    <row r="12" spans="1:29" s="409" customFormat="1" ht="14.5" x14ac:dyDescent="0.35">
      <c r="A12" s="330"/>
      <c r="B12" s="330"/>
      <c r="C12" s="330"/>
      <c r="D12" s="1472"/>
      <c r="E12" s="1422"/>
      <c r="F12" s="1463"/>
      <c r="G12" s="330"/>
      <c r="H12" s="419"/>
      <c r="I12" s="1813"/>
      <c r="J12" s="1813"/>
      <c r="K12" s="1813"/>
      <c r="L12" s="1813"/>
      <c r="M12" s="1813"/>
      <c r="N12" s="1813"/>
      <c r="O12" s="444"/>
      <c r="P12" s="411"/>
      <c r="Q12" s="408"/>
      <c r="R12" s="408"/>
      <c r="S12" s="408"/>
      <c r="T12" s="408"/>
      <c r="U12" s="408"/>
      <c r="V12" s="408"/>
      <c r="W12" s="408"/>
      <c r="X12" s="408"/>
      <c r="Y12" s="408"/>
      <c r="Z12" s="408"/>
      <c r="AA12" s="408"/>
      <c r="AB12" s="408"/>
      <c r="AC12" s="408"/>
    </row>
    <row r="13" spans="1:29" ht="14.5" x14ac:dyDescent="0.35">
      <c r="A13" s="1443" t="str">
        <f>'03 Ecosystems'!B1</f>
        <v>3 - Design for Ecosystems</v>
      </c>
      <c r="B13" s="1447"/>
      <c r="C13" s="1447"/>
      <c r="D13" s="1469"/>
      <c r="E13" s="1424"/>
      <c r="F13" s="1464"/>
      <c r="G13" s="335"/>
      <c r="H13" s="419"/>
      <c r="I13" s="1813"/>
      <c r="J13" s="1813"/>
      <c r="K13" s="1813"/>
      <c r="L13" s="1813"/>
      <c r="M13" s="1813"/>
      <c r="N13" s="1813"/>
      <c r="O13" s="444"/>
      <c r="P13" s="2"/>
      <c r="Q13" s="22"/>
      <c r="R13" s="22"/>
      <c r="S13" s="22"/>
      <c r="T13" s="22"/>
      <c r="U13" s="22"/>
      <c r="V13" s="22"/>
      <c r="W13" s="22"/>
      <c r="X13" s="22"/>
      <c r="Y13" s="22"/>
      <c r="Z13" s="22"/>
      <c r="AA13" s="22"/>
      <c r="AB13" s="22"/>
      <c r="AC13" s="22"/>
    </row>
    <row r="14" spans="1:29" ht="14.5" x14ac:dyDescent="0.35">
      <c r="A14" s="335"/>
      <c r="B14" s="335" t="str">
        <f>'03 Ecosystems'!$E$21&amp;" - "&amp;'03 Ecosystems'!$F$6</f>
        <v>Percent of Site Area Vegetated - Post-Development</v>
      </c>
      <c r="C14" s="335"/>
      <c r="D14" s="1471">
        <v>0</v>
      </c>
      <c r="E14" s="412">
        <f>Percent_Vegetated_Post_Development</f>
        <v>0</v>
      </c>
      <c r="F14" s="1462">
        <v>1</v>
      </c>
      <c r="G14" s="335"/>
      <c r="H14" s="445"/>
      <c r="I14" s="1813"/>
      <c r="J14" s="1813"/>
      <c r="K14" s="1813"/>
      <c r="L14" s="1813"/>
      <c r="M14" s="1813"/>
      <c r="N14" s="1813"/>
      <c r="O14" s="444"/>
      <c r="P14" s="2"/>
      <c r="Q14" s="22"/>
      <c r="R14" s="22"/>
      <c r="S14" s="22"/>
      <c r="T14" s="22"/>
      <c r="U14" s="22"/>
      <c r="V14" s="22"/>
      <c r="W14" s="22"/>
      <c r="X14" s="22"/>
      <c r="Y14" s="22"/>
      <c r="Z14" s="22"/>
      <c r="AA14" s="22"/>
      <c r="AB14" s="22"/>
      <c r="AC14" s="22"/>
    </row>
    <row r="15" spans="1:29" ht="14.5" x14ac:dyDescent="0.35">
      <c r="A15" s="335"/>
      <c r="B15" s="335" t="str">
        <f>'03 Ecosystems'!$E$21&amp;" - "&amp;'03 Ecosystems'!$H$6</f>
        <v>Percent of Site Area Vegetated - Pre-Development</v>
      </c>
      <c r="C15" s="335"/>
      <c r="D15" s="1471">
        <v>0</v>
      </c>
      <c r="E15" s="412">
        <f>Percent_Vegetated_Pre_Development</f>
        <v>0</v>
      </c>
      <c r="F15" s="1462">
        <v>1</v>
      </c>
      <c r="G15" s="335"/>
      <c r="H15" s="415"/>
      <c r="I15" s="1813"/>
      <c r="J15" s="1813"/>
      <c r="K15" s="1813"/>
      <c r="L15" s="1813"/>
      <c r="M15" s="1813"/>
      <c r="N15" s="1813"/>
      <c r="O15" s="440"/>
      <c r="P15" s="2"/>
      <c r="Q15" s="22"/>
      <c r="R15" s="22"/>
      <c r="S15" s="22"/>
      <c r="T15" s="22"/>
      <c r="U15" s="22"/>
      <c r="V15" s="22"/>
      <c r="W15" s="22"/>
      <c r="X15" s="22"/>
      <c r="Y15" s="22"/>
      <c r="Z15" s="22"/>
      <c r="AA15" s="22"/>
      <c r="AB15" s="22"/>
      <c r="AC15" s="22"/>
    </row>
    <row r="16" spans="1:29" ht="14.5" x14ac:dyDescent="0.35">
      <c r="A16" s="335"/>
      <c r="B16" s="335" t="str">
        <f>'03 Ecosystems'!$E$22&amp;" - "&amp;'03 Ecosystems'!F6</f>
        <v>Increase in Percent of Vegetated Area - Post-Development</v>
      </c>
      <c r="C16" s="335"/>
      <c r="D16" s="1471">
        <v>0</v>
      </c>
      <c r="E16" s="412">
        <f>Percent_Vegetated_Increase</f>
        <v>0</v>
      </c>
      <c r="F16" s="1462">
        <v>1</v>
      </c>
      <c r="G16" s="335"/>
      <c r="H16" s="415"/>
      <c r="I16" s="417"/>
      <c r="J16" s="417"/>
      <c r="K16" s="417"/>
      <c r="L16" s="417"/>
      <c r="M16" s="439"/>
      <c r="N16" s="439"/>
      <c r="O16" s="440"/>
      <c r="P16" s="2"/>
      <c r="Q16" s="22"/>
      <c r="R16" s="22"/>
      <c r="S16" s="22"/>
      <c r="T16" s="22"/>
      <c r="U16" s="22"/>
      <c r="V16" s="22"/>
      <c r="W16" s="22"/>
      <c r="X16" s="22"/>
      <c r="Y16" s="22"/>
      <c r="Z16" s="22"/>
      <c r="AA16" s="22"/>
      <c r="AB16" s="22"/>
      <c r="AC16" s="22"/>
    </row>
    <row r="17" spans="1:29" ht="14.5" x14ac:dyDescent="0.35">
      <c r="A17" s="335"/>
      <c r="B17" s="335" t="str">
        <f>'03 Ecosystems'!$E$47&amp;" - "&amp;'03 Ecosystems'!F29</f>
        <v>Vegetation Quality Score - Post-Development</v>
      </c>
      <c r="C17" s="335"/>
      <c r="D17" s="1471">
        <v>0</v>
      </c>
      <c r="E17" s="412">
        <f>Vegetation_Score_Post_Developement</f>
        <v>0</v>
      </c>
      <c r="F17" s="1462">
        <v>1</v>
      </c>
      <c r="G17" s="335"/>
      <c r="H17" s="441"/>
      <c r="I17" s="431"/>
      <c r="J17" s="431"/>
      <c r="K17" s="431"/>
      <c r="L17" s="431"/>
      <c r="M17" s="442"/>
      <c r="N17" s="442"/>
      <c r="O17" s="443"/>
      <c r="P17" s="2"/>
      <c r="Q17" s="22"/>
      <c r="R17" s="22"/>
      <c r="S17" s="22"/>
      <c r="T17" s="22"/>
      <c r="U17" s="22"/>
      <c r="V17" s="22"/>
      <c r="W17" s="22"/>
      <c r="X17" s="22"/>
      <c r="Y17" s="22"/>
      <c r="Z17" s="22"/>
      <c r="AA17" s="22"/>
      <c r="AB17" s="22"/>
      <c r="AC17" s="22"/>
    </row>
    <row r="18" spans="1:29" ht="14.5" x14ac:dyDescent="0.35">
      <c r="A18" s="335"/>
      <c r="B18" s="335" t="str">
        <f>'03 Ecosystems'!$E$47&amp;" - "&amp;'03 Ecosystems'!H29</f>
        <v>Vegetation Quality Score - Pre-Development</v>
      </c>
      <c r="C18" s="335"/>
      <c r="D18" s="1471">
        <v>0</v>
      </c>
      <c r="E18" s="412">
        <f>Vegetation_Score_Pre_Developement</f>
        <v>0</v>
      </c>
      <c r="F18" s="1462">
        <v>1</v>
      </c>
      <c r="G18" s="335"/>
      <c r="H18" s="1"/>
      <c r="I18" s="1"/>
      <c r="J18" s="1"/>
      <c r="K18" s="1"/>
      <c r="L18" s="1"/>
      <c r="M18" s="1"/>
      <c r="N18" s="1"/>
      <c r="O18" s="1"/>
      <c r="P18" s="2"/>
      <c r="Q18" s="22"/>
      <c r="R18" s="22"/>
      <c r="S18" s="22"/>
      <c r="T18" s="22"/>
      <c r="U18" s="22"/>
      <c r="V18" s="22"/>
      <c r="W18" s="22"/>
      <c r="X18" s="22"/>
      <c r="Y18" s="22"/>
      <c r="Z18" s="22"/>
      <c r="AA18" s="22"/>
      <c r="AB18" s="22"/>
      <c r="AC18" s="22"/>
    </row>
    <row r="19" spans="1:29" ht="14.5" x14ac:dyDescent="0.35">
      <c r="B19" s="335" t="str">
        <f>'03 Ecosystems'!E52</f>
        <v>Increase in Percent of Trees</v>
      </c>
      <c r="C19" s="335"/>
      <c r="D19" s="1471">
        <v>0</v>
      </c>
      <c r="E19" s="412">
        <f>'03 Ecosystems'!F52</f>
        <v>0</v>
      </c>
      <c r="F19" s="1462">
        <v>1</v>
      </c>
      <c r="G19" s="335"/>
      <c r="H19" s="335"/>
      <c r="I19" s="335"/>
      <c r="J19" s="335"/>
      <c r="K19" s="335"/>
      <c r="L19" s="335"/>
      <c r="M19" s="335"/>
      <c r="N19" s="335"/>
      <c r="O19" s="335"/>
      <c r="P19" s="411"/>
      <c r="Q19" s="408"/>
      <c r="R19" s="408"/>
      <c r="S19" s="408"/>
      <c r="T19" s="408"/>
      <c r="U19" s="408"/>
      <c r="V19" s="408"/>
      <c r="W19" s="408"/>
      <c r="X19" s="408"/>
      <c r="Y19" s="408"/>
      <c r="Z19" s="408"/>
      <c r="AA19" s="408"/>
      <c r="AB19" s="408"/>
      <c r="AC19" s="408"/>
    </row>
    <row r="20" spans="1:29" x14ac:dyDescent="0.4">
      <c r="B20" s="335" t="str">
        <f>'03 Ecosystems'!E63</f>
        <v>10-yr Landscaping Carbon Intensity</v>
      </c>
      <c r="C20" s="335"/>
      <c r="D20" s="1471"/>
      <c r="E20" s="412">
        <f>'03 Ecosystems'!F63</f>
        <v>0</v>
      </c>
      <c r="F20" s="1462" t="s">
        <v>407</v>
      </c>
      <c r="G20" s="335"/>
      <c r="H20" s="335"/>
      <c r="I20" s="335"/>
      <c r="J20" s="335"/>
      <c r="K20" s="335"/>
      <c r="L20" s="335"/>
      <c r="M20" s="335"/>
      <c r="N20" s="335"/>
      <c r="O20" s="335"/>
      <c r="P20" s="411"/>
      <c r="Q20" s="408"/>
      <c r="R20" s="408"/>
      <c r="S20" s="408"/>
      <c r="T20" s="408"/>
      <c r="U20" s="408"/>
      <c r="V20" s="408"/>
      <c r="W20" s="408"/>
      <c r="X20" s="408"/>
      <c r="Y20" s="408"/>
      <c r="Z20" s="408"/>
      <c r="AA20" s="408"/>
      <c r="AB20" s="408"/>
      <c r="AC20" s="408"/>
    </row>
    <row r="21" spans="1:29" ht="14.5" x14ac:dyDescent="0.35">
      <c r="B21" s="335" t="str">
        <f>'03 Ecosystems'!$E$75&amp;" - "&amp;'03 Ecosystems'!$F$68</f>
        <v>Percent of Hardscaped Area Shaded or High Albedo - Post-Development</v>
      </c>
      <c r="C21" s="335"/>
      <c r="D21" s="1471">
        <v>0</v>
      </c>
      <c r="E21" s="412">
        <f>'03 Ecosystems'!F75</f>
        <v>0</v>
      </c>
      <c r="F21" s="1462">
        <v>1</v>
      </c>
      <c r="G21" s="335"/>
      <c r="H21" s="335"/>
      <c r="I21" s="335"/>
      <c r="J21" s="335"/>
      <c r="K21" s="335"/>
      <c r="L21" s="335"/>
      <c r="M21" s="335"/>
      <c r="N21" s="335"/>
      <c r="O21" s="335"/>
      <c r="P21" s="411"/>
      <c r="Q21" s="408"/>
      <c r="R21" s="408"/>
      <c r="S21" s="408"/>
      <c r="T21" s="408"/>
      <c r="U21" s="408"/>
      <c r="V21" s="408"/>
      <c r="W21" s="408"/>
      <c r="X21" s="408"/>
      <c r="Y21" s="408"/>
      <c r="Z21" s="408"/>
      <c r="AA21" s="408"/>
      <c r="AB21" s="408"/>
      <c r="AC21" s="408"/>
    </row>
    <row r="22" spans="1:29" ht="14.5" x14ac:dyDescent="0.35">
      <c r="B22" s="335" t="str">
        <f>'03 Ecosystems'!$E$75&amp;" - "&amp;'03 Ecosystems'!$H$68</f>
        <v>Percent of Hardscaped Area Shaded or High Albedo - Pre-Development</v>
      </c>
      <c r="C22" s="335"/>
      <c r="D22" s="1471">
        <v>0</v>
      </c>
      <c r="E22" s="412">
        <f>'03 Ecosystems'!H75</f>
        <v>0</v>
      </c>
      <c r="F22" s="1462">
        <v>1</v>
      </c>
      <c r="G22" s="335"/>
      <c r="H22" s="335"/>
      <c r="I22" s="335"/>
      <c r="J22" s="335"/>
      <c r="K22" s="335"/>
      <c r="L22" s="335"/>
      <c r="M22" s="335"/>
      <c r="N22" s="335"/>
      <c r="O22" s="335"/>
      <c r="P22" s="411"/>
      <c r="Q22" s="408"/>
      <c r="R22" s="408"/>
      <c r="S22" s="408"/>
      <c r="T22" s="408"/>
      <c r="U22" s="408"/>
      <c r="V22" s="408"/>
      <c r="W22" s="408"/>
      <c r="X22" s="408"/>
      <c r="Y22" s="408"/>
      <c r="Z22" s="408"/>
      <c r="AA22" s="408"/>
      <c r="AB22" s="408"/>
      <c r="AC22" s="408"/>
    </row>
    <row r="23" spans="1:29" ht="14.5" x14ac:dyDescent="0.35">
      <c r="B23" s="335" t="str">
        <f>'03 Ecosystems'!E77</f>
        <v>Increase in Heat Island Mitigation - Post Development</v>
      </c>
      <c r="C23" s="335"/>
      <c r="D23" s="1471">
        <v>0</v>
      </c>
      <c r="E23" s="412">
        <f>'03 Ecosystems'!F77</f>
        <v>0</v>
      </c>
      <c r="F23" s="1462">
        <v>1</v>
      </c>
      <c r="G23" s="335"/>
      <c r="H23" s="335"/>
      <c r="I23" s="335"/>
      <c r="J23" s="335"/>
      <c r="K23" s="335"/>
      <c r="L23" s="335"/>
      <c r="M23" s="335"/>
      <c r="N23" s="335"/>
      <c r="O23" s="335"/>
      <c r="P23" s="411"/>
      <c r="Q23" s="408"/>
      <c r="R23" s="408"/>
      <c r="S23" s="408"/>
      <c r="T23" s="408"/>
      <c r="U23" s="408"/>
      <c r="V23" s="408"/>
      <c r="W23" s="408"/>
      <c r="X23" s="408"/>
      <c r="Y23" s="408"/>
      <c r="Z23" s="408"/>
      <c r="AA23" s="408"/>
      <c r="AB23" s="408"/>
      <c r="AC23" s="408"/>
    </row>
    <row r="24" spans="1:29" ht="14.5" x14ac:dyDescent="0.35">
      <c r="B24" s="335"/>
      <c r="C24" s="335"/>
      <c r="D24" s="1471"/>
      <c r="E24" s="412"/>
      <c r="F24" s="1462"/>
      <c r="G24" s="335"/>
      <c r="M24" s="329"/>
      <c r="N24" s="329"/>
      <c r="P24" s="411"/>
      <c r="Q24" s="408"/>
      <c r="R24" s="408"/>
      <c r="S24" s="408"/>
      <c r="T24" s="408"/>
      <c r="U24" s="408"/>
      <c r="V24" s="408"/>
      <c r="W24" s="408"/>
      <c r="X24" s="408"/>
      <c r="Y24" s="408"/>
      <c r="Z24" s="408"/>
      <c r="AA24" s="408"/>
      <c r="AB24" s="408"/>
      <c r="AC24" s="408"/>
    </row>
    <row r="25" spans="1:29" ht="14.5" x14ac:dyDescent="0.35">
      <c r="A25" s="1443" t="str">
        <f>'04 Water'!B1</f>
        <v>4 - Design for Water</v>
      </c>
      <c r="B25" s="1443"/>
      <c r="C25" s="1447"/>
      <c r="D25" s="1469"/>
      <c r="E25" s="1446"/>
      <c r="F25" s="1464"/>
      <c r="G25" s="335"/>
      <c r="H25" s="427" t="s">
        <v>953</v>
      </c>
      <c r="I25" s="428"/>
      <c r="J25" s="429"/>
      <c r="K25" s="429"/>
      <c r="L25" s="429"/>
      <c r="M25" s="433"/>
      <c r="N25" s="433"/>
      <c r="O25" s="430"/>
      <c r="P25" s="2"/>
      <c r="Q25" s="22"/>
      <c r="R25" s="22"/>
      <c r="S25" s="22"/>
      <c r="T25" s="22"/>
      <c r="U25" s="22"/>
      <c r="V25" s="22"/>
      <c r="W25" s="22"/>
      <c r="X25" s="22"/>
      <c r="Y25" s="22"/>
      <c r="Z25" s="22"/>
      <c r="AA25" s="22"/>
      <c r="AB25" s="22"/>
      <c r="AC25" s="22"/>
    </row>
    <row r="26" spans="1:29" ht="15.75" customHeight="1" x14ac:dyDescent="0.35">
      <c r="A26" s="335"/>
      <c r="B26" s="335" t="str">
        <f>'04 Water'!$K$90&amp;" "&amp;'04 Water'!$K$91&amp;" - "&amp;'04 Water'!J93</f>
        <v>Percent Potable Water Use Reduction - Measured</v>
      </c>
      <c r="C26" s="335"/>
      <c r="D26" s="1471">
        <v>0</v>
      </c>
      <c r="E26" s="412" cm="1">
        <f t="array" ref="E26">Percent_Potable_Water_Reduction_Measured</f>
        <v>0</v>
      </c>
      <c r="F26" s="1462">
        <v>1</v>
      </c>
      <c r="G26" s="335"/>
      <c r="H26" s="425"/>
      <c r="I26" s="416"/>
      <c r="J26" s="416"/>
      <c r="K26" s="416"/>
      <c r="L26" s="416"/>
      <c r="M26" s="434"/>
      <c r="N26" s="434"/>
      <c r="O26" s="426"/>
      <c r="P26" s="2"/>
      <c r="Q26" s="22"/>
      <c r="R26" s="22"/>
      <c r="S26" s="22"/>
      <c r="T26" s="22"/>
      <c r="U26" s="22"/>
      <c r="V26" s="22"/>
      <c r="W26" s="22"/>
      <c r="X26" s="22"/>
      <c r="Y26" s="22"/>
      <c r="Z26" s="22"/>
      <c r="AA26" s="22"/>
      <c r="AB26" s="22"/>
      <c r="AC26" s="22"/>
    </row>
    <row r="27" spans="1:29" ht="15.75" customHeight="1" x14ac:dyDescent="0.35">
      <c r="A27" s="335"/>
      <c r="B27" s="335" t="str">
        <f>'04 Water'!$K$90&amp;" "&amp;'04 Water'!$K$91&amp;" - "&amp;'04 Water'!J92</f>
        <v xml:space="preserve">Percent Potable Water Use Reduction - Predicted </v>
      </c>
      <c r="C27" s="335"/>
      <c r="D27" s="1471">
        <v>0</v>
      </c>
      <c r="E27" s="412">
        <f>Percent_Potable_Water_Reduction_Predicted</f>
        <v>0</v>
      </c>
      <c r="F27" s="1462">
        <v>1</v>
      </c>
      <c r="G27" s="335"/>
      <c r="H27" s="422"/>
      <c r="I27" s="417"/>
      <c r="J27" s="417"/>
      <c r="K27" s="417"/>
      <c r="L27" s="417"/>
      <c r="M27" s="439"/>
      <c r="N27" s="439"/>
      <c r="O27" s="423"/>
      <c r="P27" s="2"/>
      <c r="Q27" s="22"/>
      <c r="R27" s="22"/>
      <c r="S27" s="22"/>
      <c r="T27" s="22"/>
      <c r="U27" s="22"/>
      <c r="V27" s="22"/>
      <c r="W27" s="22"/>
      <c r="X27" s="22"/>
      <c r="Y27" s="22"/>
      <c r="Z27" s="22"/>
      <c r="AA27" s="22"/>
      <c r="AB27" s="22"/>
      <c r="AC27" s="22"/>
    </row>
    <row r="28" spans="1:29" ht="15.75" customHeight="1" x14ac:dyDescent="0.35">
      <c r="A28" s="335"/>
      <c r="B28" s="335" t="str">
        <f>'04 Water'!K51</f>
        <v>Percent Reduction in Outdoor Water Use</v>
      </c>
      <c r="C28" s="335"/>
      <c r="D28" s="1471">
        <v>0</v>
      </c>
      <c r="E28" s="1434">
        <f>'04 Water'!L51</f>
        <v>0</v>
      </c>
      <c r="F28" s="1462">
        <v>1</v>
      </c>
      <c r="G28" s="335"/>
      <c r="H28" s="422"/>
      <c r="I28" s="435" t="s">
        <v>522</v>
      </c>
      <c r="J28" s="417"/>
      <c r="K28" s="1450"/>
      <c r="L28" s="1428"/>
      <c r="M28" s="1428"/>
      <c r="N28" s="1428"/>
      <c r="O28" s="423"/>
      <c r="P28" s="2"/>
      <c r="Q28" s="22"/>
      <c r="R28" s="22"/>
      <c r="S28" s="22"/>
      <c r="T28" s="22"/>
      <c r="U28" s="22"/>
      <c r="V28" s="22"/>
      <c r="W28" s="22"/>
      <c r="X28" s="22"/>
      <c r="Y28" s="22"/>
      <c r="Z28" s="22"/>
      <c r="AA28" s="22"/>
      <c r="AB28" s="22"/>
      <c r="AC28" s="22"/>
    </row>
    <row r="29" spans="1:29" ht="15.75" customHeight="1" x14ac:dyDescent="0.35">
      <c r="A29" s="335"/>
      <c r="B29" s="335" t="str">
        <f>'04 Water'!G115</f>
        <v>Percentage of Stormwater Managed On-site</v>
      </c>
      <c r="C29" s="335"/>
      <c r="D29" s="1471">
        <v>0</v>
      </c>
      <c r="E29" s="412">
        <f>Percent_Stormwater_Managed_Onsite</f>
        <v>0</v>
      </c>
      <c r="F29" s="1462">
        <v>1</v>
      </c>
      <c r="G29" s="335"/>
      <c r="H29" s="422"/>
      <c r="I29" s="1451"/>
      <c r="J29" s="438" t="s">
        <v>523</v>
      </c>
      <c r="K29" s="438"/>
      <c r="L29" s="438" t="s">
        <v>361</v>
      </c>
      <c r="M29" s="438" t="s">
        <v>1166</v>
      </c>
      <c r="N29" s="438" t="s">
        <v>250</v>
      </c>
      <c r="O29" s="423"/>
      <c r="P29" s="2"/>
      <c r="Q29" s="22"/>
      <c r="R29" s="22"/>
      <c r="S29" s="22"/>
      <c r="T29" s="22"/>
      <c r="U29" s="22"/>
      <c r="V29" s="22"/>
      <c r="W29" s="22"/>
      <c r="X29" s="22"/>
      <c r="Y29" s="22"/>
      <c r="Z29" s="22"/>
      <c r="AA29" s="22"/>
      <c r="AB29" s="22"/>
      <c r="AC29" s="22"/>
    </row>
    <row r="30" spans="1:29" ht="15.75" customHeight="1" x14ac:dyDescent="0.35">
      <c r="A30" s="335"/>
      <c r="B30" s="335" t="str">
        <f>'04 Water'!G122</f>
        <v>Runoff Quality Score</v>
      </c>
      <c r="C30" s="335"/>
      <c r="D30" s="1471">
        <v>0</v>
      </c>
      <c r="E30" s="412">
        <f>Runoff_Quality_Score</f>
        <v>0</v>
      </c>
      <c r="F30" s="1462">
        <v>1</v>
      </c>
      <c r="G30" s="335"/>
      <c r="H30" s="422"/>
      <c r="I30" s="1451"/>
      <c r="J30" s="1452">
        <v>1</v>
      </c>
      <c r="K30" s="1453" t="s">
        <v>524</v>
      </c>
      <c r="L30" s="1453">
        <f>IFERROR(Operational_Carbon_Intensity_Measured*Area_Building,"")</f>
        <v>0</v>
      </c>
      <c r="M30" s="1453">
        <f>Embodied_Carbon_Total_Proposed</f>
        <v>0</v>
      </c>
      <c r="N30" s="1453">
        <f>IFERROR(L30+M30,"")</f>
        <v>0</v>
      </c>
      <c r="O30" s="423"/>
      <c r="P30" s="2"/>
      <c r="Q30" s="22"/>
      <c r="R30" s="22"/>
      <c r="S30" s="22"/>
      <c r="T30" s="22"/>
      <c r="U30" s="22"/>
      <c r="V30" s="22"/>
      <c r="W30" s="22"/>
      <c r="X30" s="22"/>
      <c r="Y30" s="22"/>
      <c r="Z30" s="22"/>
      <c r="AA30" s="22"/>
      <c r="AB30" s="22"/>
      <c r="AC30" s="22"/>
    </row>
    <row r="31" spans="1:29" ht="15.75" customHeight="1" x14ac:dyDescent="0.35">
      <c r="A31" s="335"/>
      <c r="B31" s="335"/>
      <c r="C31" s="335"/>
      <c r="D31" s="1471"/>
      <c r="E31" s="412"/>
      <c r="F31" s="1462"/>
      <c r="G31" s="335"/>
      <c r="H31" s="422"/>
      <c r="I31" s="1451"/>
      <c r="J31" s="1452">
        <v>10</v>
      </c>
      <c r="K31" s="1453" t="s">
        <v>524</v>
      </c>
      <c r="L31" s="1453">
        <f>IFERROR(($L$30*J31),"")</f>
        <v>0</v>
      </c>
      <c r="M31" s="1453">
        <f>Embodied_Carbon_Total_Proposed</f>
        <v>0</v>
      </c>
      <c r="N31" s="1453">
        <f t="shared" ref="N31:N34" si="0">IFERROR(L31+M31,"")</f>
        <v>0</v>
      </c>
      <c r="O31" s="423"/>
      <c r="P31" s="411"/>
      <c r="Q31" s="408"/>
      <c r="R31" s="408"/>
      <c r="S31" s="408"/>
      <c r="T31" s="408"/>
      <c r="U31" s="408"/>
      <c r="V31" s="408"/>
      <c r="W31" s="408"/>
      <c r="X31" s="408"/>
      <c r="Y31" s="408"/>
      <c r="Z31" s="408"/>
      <c r="AA31" s="408"/>
      <c r="AB31" s="408"/>
      <c r="AC31" s="408"/>
    </row>
    <row r="32" spans="1:29" ht="15.75" customHeight="1" x14ac:dyDescent="0.35">
      <c r="A32" s="1443" t="str">
        <f>'05 Economy'!B1</f>
        <v>5 - Design for Economy</v>
      </c>
      <c r="B32" s="1443"/>
      <c r="C32" s="1447"/>
      <c r="D32" s="1473"/>
      <c r="E32" s="1448" t="s">
        <v>518</v>
      </c>
      <c r="F32" s="1464"/>
      <c r="G32" s="335"/>
      <c r="H32" s="422"/>
      <c r="I32" s="1451"/>
      <c r="J32" s="1452">
        <v>30</v>
      </c>
      <c r="K32" s="1453" t="s">
        <v>524</v>
      </c>
      <c r="L32" s="1453">
        <f>IFERROR(($L$30*J32),"")</f>
        <v>0</v>
      </c>
      <c r="M32" s="1453">
        <f>Embodied_Carbon_Total_Proposed</f>
        <v>0</v>
      </c>
      <c r="N32" s="1453">
        <f t="shared" si="0"/>
        <v>0</v>
      </c>
      <c r="O32" s="423"/>
      <c r="P32" s="411"/>
      <c r="Q32" s="408"/>
      <c r="R32" s="408"/>
      <c r="S32" s="408"/>
      <c r="T32" s="408"/>
      <c r="U32" s="408"/>
      <c r="V32" s="408"/>
      <c r="W32" s="408"/>
      <c r="X32" s="408"/>
      <c r="Y32" s="408"/>
      <c r="Z32" s="408"/>
      <c r="AA32" s="408"/>
      <c r="AB32" s="408"/>
      <c r="AC32" s="408"/>
    </row>
    <row r="33" spans="1:29" ht="15.75" customHeight="1" x14ac:dyDescent="0.35">
      <c r="A33" s="335"/>
      <c r="B33" s="335" t="str">
        <f>'05 Economy'!E8</f>
        <v>Construction Cost Reduction from the Benchmark</v>
      </c>
      <c r="C33" s="335"/>
      <c r="D33" s="1471">
        <v>0</v>
      </c>
      <c r="E33" s="412">
        <f>Construction_Cost_Percent_Reduction</f>
        <v>0</v>
      </c>
      <c r="F33" s="1462" t="s">
        <v>519</v>
      </c>
      <c r="G33" s="335"/>
      <c r="H33" s="424"/>
      <c r="I33" s="1451"/>
      <c r="J33" s="1452">
        <v>60</v>
      </c>
      <c r="K33" s="1453" t="s">
        <v>524</v>
      </c>
      <c r="L33" s="1453">
        <f>IFERROR(($L$30*J33),"")</f>
        <v>0</v>
      </c>
      <c r="M33" s="1453">
        <f>Embodied_Carbon_Total_Proposed</f>
        <v>0</v>
      </c>
      <c r="N33" s="1453">
        <f t="shared" si="0"/>
        <v>0</v>
      </c>
      <c r="O33" s="423"/>
      <c r="P33" s="2"/>
      <c r="Q33" s="22"/>
      <c r="R33" s="22"/>
      <c r="S33" s="22"/>
      <c r="T33" s="22"/>
      <c r="U33" s="22"/>
      <c r="V33" s="22"/>
      <c r="W33" s="22"/>
      <c r="X33" s="22"/>
      <c r="Y33" s="22"/>
      <c r="Z33" s="22"/>
      <c r="AA33" s="22"/>
      <c r="AB33" s="22"/>
      <c r="AC33" s="22"/>
    </row>
    <row r="34" spans="1:29" ht="15.75" customHeight="1" x14ac:dyDescent="0.35">
      <c r="A34" s="335"/>
      <c r="B34" s="335" t="str">
        <f>'05 Economy'!E26</f>
        <v xml:space="preserve">Efficiency ratio percent improvement </v>
      </c>
      <c r="C34" s="335"/>
      <c r="D34" s="1471">
        <v>0</v>
      </c>
      <c r="E34" s="412">
        <f>Efficiency_Ratio_Percent_Improvement</f>
        <v>0</v>
      </c>
      <c r="F34" s="1462" t="s">
        <v>519</v>
      </c>
      <c r="G34" s="335"/>
      <c r="H34" s="422"/>
      <c r="I34" s="1455" t="s">
        <v>525</v>
      </c>
      <c r="J34" s="1452">
        <f>Building_Design_Lifespan</f>
        <v>0</v>
      </c>
      <c r="K34" s="1453" t="s">
        <v>524</v>
      </c>
      <c r="L34" s="1453">
        <f>IFERROR(($L$30*J34),"")</f>
        <v>0</v>
      </c>
      <c r="M34" s="1453">
        <f>Embodied_Carbon_Total_Proposed</f>
        <v>0</v>
      </c>
      <c r="N34" s="1453">
        <f t="shared" si="0"/>
        <v>0</v>
      </c>
      <c r="O34" s="423"/>
      <c r="P34" s="2"/>
      <c r="Q34" s="22"/>
      <c r="R34" s="22"/>
      <c r="S34" s="22"/>
      <c r="T34" s="22"/>
      <c r="U34" s="22"/>
      <c r="V34" s="22"/>
      <c r="W34" s="22"/>
      <c r="X34" s="22"/>
      <c r="Y34" s="22"/>
      <c r="Z34" s="22"/>
      <c r="AA34" s="22"/>
      <c r="AB34" s="22"/>
      <c r="AC34" s="22"/>
    </row>
    <row r="35" spans="1:29" ht="15.75" customHeight="1" x14ac:dyDescent="0.35">
      <c r="A35" s="335"/>
      <c r="B35" s="335"/>
      <c r="C35" s="335"/>
      <c r="D35" s="1471"/>
      <c r="E35" s="412"/>
      <c r="F35" s="1462"/>
      <c r="G35" s="335"/>
      <c r="H35" s="422"/>
      <c r="I35" s="1428"/>
      <c r="J35" s="1428"/>
      <c r="K35" s="1428"/>
      <c r="L35" s="1428"/>
      <c r="M35" s="1428"/>
      <c r="N35" s="1428"/>
      <c r="O35" s="423"/>
      <c r="P35" s="411"/>
      <c r="Q35" s="408"/>
      <c r="R35" s="408"/>
      <c r="S35" s="408"/>
      <c r="T35" s="408"/>
      <c r="U35" s="408"/>
      <c r="V35" s="408"/>
      <c r="W35" s="408"/>
      <c r="X35" s="408"/>
      <c r="Y35" s="408"/>
      <c r="Z35" s="408"/>
      <c r="AA35" s="408"/>
      <c r="AB35" s="408"/>
      <c r="AC35" s="408"/>
    </row>
    <row r="36" spans="1:29" ht="15.75" customHeight="1" x14ac:dyDescent="0.35">
      <c r="A36" s="1443" t="str">
        <f>'06 Energy'!B1</f>
        <v>6 - Design for Energy</v>
      </c>
      <c r="B36" s="1443"/>
      <c r="C36" s="1447"/>
      <c r="D36" s="1474"/>
      <c r="E36" s="1446"/>
      <c r="F36" s="1460"/>
      <c r="G36" s="335"/>
      <c r="H36" s="422"/>
      <c r="I36" s="435" t="s">
        <v>526</v>
      </c>
      <c r="J36" s="417"/>
      <c r="K36" s="1428"/>
      <c r="L36" s="1428"/>
      <c r="M36" s="1428"/>
      <c r="N36" s="1428"/>
      <c r="O36" s="423"/>
      <c r="P36" s="411"/>
      <c r="Q36" s="408"/>
      <c r="R36" s="408"/>
      <c r="S36" s="408"/>
      <c r="T36" s="408"/>
      <c r="U36" s="408"/>
      <c r="V36" s="408"/>
      <c r="W36" s="408"/>
      <c r="X36" s="408"/>
      <c r="Y36" s="408"/>
      <c r="Z36" s="408"/>
      <c r="AA36" s="408"/>
      <c r="AB36" s="408"/>
      <c r="AC36" s="408"/>
    </row>
    <row r="37" spans="1:29" ht="15.75" customHeight="1" x14ac:dyDescent="0.35">
      <c r="A37" s="335"/>
      <c r="B37" s="335" t="str">
        <f>'06 Energy'!$E$107&amp;" - "&amp;'06 Energy'!$F$108&amp;" - "&amp;'06 Energy'!$G$88</f>
        <v>Percent Energy Reduction from Benchmark - Inclusive of Renewables - Measured</v>
      </c>
      <c r="C37" s="335"/>
      <c r="D37" s="1471">
        <v>0</v>
      </c>
      <c r="E37" s="412">
        <f>Percent_Reduction_Energy_wRenewables_Measured</f>
        <v>0</v>
      </c>
      <c r="F37" s="1462" t="s">
        <v>951</v>
      </c>
      <c r="G37" s="335"/>
      <c r="H37" s="422"/>
      <c r="I37" s="1451"/>
      <c r="J37" s="438" t="s">
        <v>523</v>
      </c>
      <c r="K37" s="438"/>
      <c r="L37" s="438" t="s">
        <v>361</v>
      </c>
      <c r="M37" s="438" t="s">
        <v>1166</v>
      </c>
      <c r="N37" s="438" t="s">
        <v>250</v>
      </c>
      <c r="O37" s="423"/>
      <c r="P37" s="2"/>
      <c r="Q37" s="22"/>
      <c r="R37" s="22"/>
      <c r="S37" s="22"/>
      <c r="T37" s="22"/>
      <c r="U37" s="22"/>
      <c r="V37" s="22"/>
      <c r="W37" s="22"/>
      <c r="X37" s="22"/>
      <c r="Y37" s="22"/>
      <c r="Z37" s="22"/>
      <c r="AA37" s="22"/>
      <c r="AB37" s="22"/>
      <c r="AC37" s="22"/>
    </row>
    <row r="38" spans="1:29" ht="15.75" customHeight="1" x14ac:dyDescent="0.35">
      <c r="A38" s="335"/>
      <c r="B38" s="335" t="str">
        <f>'06 Energy'!$E$107&amp;" - "&amp;'06 Energy'!$F$108&amp;" - "&amp;'06 Energy'!$H$88</f>
        <v>Percent Energy Reduction from Benchmark - Inclusive of Renewables - Predicted</v>
      </c>
      <c r="C38" s="335"/>
      <c r="D38" s="1471">
        <v>0</v>
      </c>
      <c r="E38" s="412">
        <f>Percent_Reduction_Energy_wRenewables_Predicted</f>
        <v>0</v>
      </c>
      <c r="F38" s="1462" t="s">
        <v>951</v>
      </c>
      <c r="G38" s="335"/>
      <c r="H38" s="422"/>
      <c r="I38" s="1451"/>
      <c r="J38" s="1452">
        <v>1</v>
      </c>
      <c r="K38" s="1453" t="s">
        <v>524</v>
      </c>
      <c r="L38" s="1454" t="str">
        <f>IFERROR($L30/$N30,"")</f>
        <v/>
      </c>
      <c r="M38" s="1454" t="str">
        <f>IFERROR($M30/$N30,"")</f>
        <v/>
      </c>
      <c r="N38" s="1454">
        <v>0</v>
      </c>
      <c r="O38" s="423"/>
      <c r="P38" s="2"/>
      <c r="Q38" s="22"/>
      <c r="R38" s="22"/>
      <c r="S38" s="22"/>
      <c r="T38" s="22"/>
      <c r="U38" s="22"/>
      <c r="V38" s="22"/>
      <c r="W38" s="22"/>
      <c r="X38" s="22"/>
      <c r="Y38" s="22"/>
      <c r="Z38" s="22"/>
      <c r="AA38" s="22"/>
      <c r="AB38" s="22"/>
      <c r="AC38" s="22"/>
    </row>
    <row r="39" spans="1:29" ht="15.75" customHeight="1" x14ac:dyDescent="0.35">
      <c r="A39" s="335"/>
      <c r="B39" s="335" t="str">
        <f>'06 Energy'!$E$107&amp;" - "&amp;'06 Energy'!$F$109&amp;" - "&amp;'06 Energy'!$G$88</f>
        <v>Percent Energy Reduction from Benchmark - Exclusive of Renewables - Measured</v>
      </c>
      <c r="C39" s="335"/>
      <c r="D39" s="1471">
        <v>0</v>
      </c>
      <c r="E39" s="412">
        <f>Percent_Reduction_Energy_Measured</f>
        <v>0</v>
      </c>
      <c r="F39" s="1462">
        <v>1</v>
      </c>
      <c r="G39" s="335"/>
      <c r="H39" s="422"/>
      <c r="I39" s="1451"/>
      <c r="J39" s="1452">
        <v>10</v>
      </c>
      <c r="K39" s="1453" t="s">
        <v>524</v>
      </c>
      <c r="L39" s="1454" t="str">
        <f>IFERROR($L31/$N31,"")</f>
        <v/>
      </c>
      <c r="M39" s="1454" t="str">
        <f>IFERROR($M31/$N31,"")</f>
        <v/>
      </c>
      <c r="N39" s="1454">
        <v>0</v>
      </c>
      <c r="O39" s="423"/>
      <c r="P39" s="2"/>
      <c r="Q39" s="22"/>
      <c r="R39" s="22"/>
      <c r="S39" s="22"/>
      <c r="T39" s="22"/>
      <c r="U39" s="22"/>
      <c r="V39" s="22"/>
      <c r="W39" s="22"/>
      <c r="X39" s="22"/>
      <c r="Y39" s="22"/>
      <c r="Z39" s="22"/>
      <c r="AA39" s="22"/>
      <c r="AB39" s="22"/>
      <c r="AC39" s="22"/>
    </row>
    <row r="40" spans="1:29" ht="15.75" customHeight="1" x14ac:dyDescent="0.35">
      <c r="A40" s="335"/>
      <c r="B40" s="335" t="str">
        <f>'06 Energy'!$E$107&amp;" - "&amp;'06 Energy'!$F$109&amp;" - "&amp;'06 Energy'!$H$88</f>
        <v>Percent Energy Reduction from Benchmark - Exclusive of Renewables - Predicted</v>
      </c>
      <c r="C40" s="335"/>
      <c r="D40" s="1471">
        <v>0</v>
      </c>
      <c r="E40" s="412">
        <f>Percent_Reduction_Energy_Predicted</f>
        <v>0</v>
      </c>
      <c r="F40" s="1462">
        <v>1</v>
      </c>
      <c r="G40" s="335"/>
      <c r="H40" s="422"/>
      <c r="I40" s="1451"/>
      <c r="J40" s="1452">
        <v>30</v>
      </c>
      <c r="K40" s="1453" t="s">
        <v>524</v>
      </c>
      <c r="L40" s="1454" t="str">
        <f>IFERROR($L32/$N32,"")</f>
        <v/>
      </c>
      <c r="M40" s="1454" t="str">
        <f>IFERROR($M32/$N32,"")</f>
        <v/>
      </c>
      <c r="N40" s="1454">
        <v>0</v>
      </c>
      <c r="O40" s="423"/>
      <c r="P40" s="2"/>
      <c r="Q40" s="22"/>
      <c r="R40" s="22"/>
      <c r="S40" s="22"/>
      <c r="T40" s="22"/>
      <c r="U40" s="22"/>
      <c r="V40" s="22"/>
      <c r="W40" s="22"/>
      <c r="X40" s="22"/>
      <c r="Y40" s="22"/>
      <c r="Z40" s="22"/>
      <c r="AA40" s="22"/>
      <c r="AB40" s="22"/>
      <c r="AC40" s="22"/>
    </row>
    <row r="41" spans="1:29" ht="15.75" customHeight="1" x14ac:dyDescent="0.35">
      <c r="A41" s="335"/>
      <c r="B41" s="1427" t="str">
        <f>'06 Energy'!$E$103&amp;" "&amp;'06 Energy'!$F$104&amp;" - "&amp;'06 Energy'!$G$88</f>
        <v>Percent of Total Annual Energy from On-Site Renewables - Measured</v>
      </c>
      <c r="C41" s="1427"/>
      <c r="D41" s="1471">
        <v>0</v>
      </c>
      <c r="E41" s="412">
        <f>Percent_Total_Energy_from_On_Site_Measured</f>
        <v>0</v>
      </c>
      <c r="F41" s="1462">
        <v>1</v>
      </c>
      <c r="G41" s="335"/>
      <c r="H41" s="424"/>
      <c r="I41" s="1451"/>
      <c r="J41" s="1452">
        <v>60</v>
      </c>
      <c r="K41" s="1453" t="s">
        <v>524</v>
      </c>
      <c r="L41" s="1454" t="str">
        <f>IFERROR($L33/$N33,"")</f>
        <v/>
      </c>
      <c r="M41" s="1454" t="str">
        <f>IFERROR($M33/$N33,"")</f>
        <v/>
      </c>
      <c r="N41" s="1454">
        <v>0</v>
      </c>
      <c r="O41" s="423"/>
      <c r="P41" s="22"/>
      <c r="Q41" s="22"/>
      <c r="R41" s="22"/>
      <c r="S41" s="22"/>
      <c r="T41" s="22"/>
      <c r="U41" s="22"/>
      <c r="V41" s="22"/>
      <c r="W41" s="22"/>
      <c r="X41" s="22"/>
      <c r="Y41" s="22"/>
      <c r="Z41" s="22"/>
      <c r="AA41" s="22"/>
      <c r="AB41" s="22"/>
      <c r="AC41" s="22"/>
    </row>
    <row r="42" spans="1:29" ht="15.75" customHeight="1" x14ac:dyDescent="0.35">
      <c r="A42" s="335"/>
      <c r="B42" s="1427" t="str">
        <f>'06 Energy'!$E$103&amp;" "&amp;'06 Energy'!$F$104&amp;" - "&amp;'06 Energy'!$H$88</f>
        <v>Percent of Total Annual Energy from On-Site Renewables - Predicted</v>
      </c>
      <c r="C42" s="1427"/>
      <c r="D42" s="1471">
        <v>0</v>
      </c>
      <c r="E42" s="412">
        <f>Percent_Total_Energy_from_On_Site_Predicted</f>
        <v>0</v>
      </c>
      <c r="F42" s="1462">
        <v>1</v>
      </c>
      <c r="G42" s="335"/>
      <c r="H42" s="422"/>
      <c r="I42" s="1455" t="s">
        <v>525</v>
      </c>
      <c r="J42" s="1452">
        <f>Building_Design_Lifespan</f>
        <v>0</v>
      </c>
      <c r="K42" s="1453" t="s">
        <v>524</v>
      </c>
      <c r="L42" s="1454" t="str">
        <f>IFERROR($L34/$N34,"")</f>
        <v/>
      </c>
      <c r="M42" s="1454" t="str">
        <f>IFERROR($M34/$N34,"")</f>
        <v/>
      </c>
      <c r="N42" s="1454">
        <v>0</v>
      </c>
      <c r="O42" s="423"/>
      <c r="P42" s="22"/>
      <c r="Q42" s="22"/>
      <c r="R42" s="22"/>
      <c r="S42" s="22"/>
      <c r="T42" s="22"/>
      <c r="U42" s="22"/>
      <c r="V42" s="22"/>
      <c r="W42" s="22"/>
      <c r="X42" s="22"/>
      <c r="Y42" s="22"/>
      <c r="Z42" s="22"/>
      <c r="AA42" s="22"/>
      <c r="AB42" s="22"/>
      <c r="AC42" s="22"/>
    </row>
    <row r="43" spans="1:29" ht="15.75" customHeight="1" x14ac:dyDescent="0.35">
      <c r="A43" s="335"/>
      <c r="B43" s="1427" t="str">
        <f>'06 Energy'!$E$103&amp;" "&amp;'06 Energy'!$F$105&amp;" - "&amp;'06 Energy'!$G$88</f>
        <v>Percent of Total Annual Energy from Off-Site Renewables - Measured</v>
      </c>
      <c r="C43" s="1427"/>
      <c r="D43" s="1471">
        <v>0</v>
      </c>
      <c r="E43" s="412">
        <f>Percent_Total_Energy_from_Off_Site_Measured</f>
        <v>0</v>
      </c>
      <c r="F43" s="1462">
        <v>1</v>
      </c>
      <c r="G43" s="335"/>
      <c r="H43" s="437"/>
      <c r="I43" s="421"/>
      <c r="J43" s="421"/>
      <c r="K43" s="421"/>
      <c r="L43" s="421"/>
      <c r="M43" s="421"/>
      <c r="N43" s="421"/>
      <c r="O43" s="436"/>
      <c r="P43" s="22"/>
      <c r="Q43" s="22"/>
      <c r="R43" s="22"/>
      <c r="S43" s="22"/>
      <c r="T43" s="22"/>
      <c r="U43" s="22"/>
      <c r="V43" s="22"/>
      <c r="W43" s="22"/>
      <c r="X43" s="22"/>
      <c r="Y43" s="22"/>
      <c r="Z43" s="22"/>
      <c r="AA43" s="22"/>
      <c r="AB43" s="22"/>
      <c r="AC43" s="22"/>
    </row>
    <row r="44" spans="1:29" ht="15.75" customHeight="1" x14ac:dyDescent="0.35">
      <c r="A44" s="335"/>
      <c r="B44" s="1427" t="str">
        <f>'06 Energy'!$E$103&amp;" "&amp;'06 Energy'!$F$105&amp;" - "&amp;'06 Energy'!$H$88</f>
        <v>Percent of Total Annual Energy from Off-Site Renewables - Predicted</v>
      </c>
      <c r="C44" s="1427"/>
      <c r="D44" s="1471">
        <v>0</v>
      </c>
      <c r="E44" s="412">
        <f>Percent_Total_Energy_from_Off_Site_Predicted</f>
        <v>0</v>
      </c>
      <c r="F44" s="1462">
        <v>1</v>
      </c>
      <c r="G44" s="335"/>
      <c r="H44" s="329"/>
      <c r="M44" s="329"/>
      <c r="N44" s="329"/>
      <c r="P44" s="22"/>
      <c r="Q44" s="22"/>
      <c r="R44" s="22"/>
      <c r="S44" s="22"/>
      <c r="T44" s="22"/>
      <c r="U44" s="22"/>
      <c r="V44" s="22"/>
      <c r="W44" s="22"/>
      <c r="X44" s="22"/>
      <c r="Y44" s="22"/>
      <c r="Z44" s="22"/>
      <c r="AA44" s="22"/>
      <c r="AB44" s="22"/>
      <c r="AC44" s="22"/>
    </row>
    <row r="45" spans="1:29" ht="15.75" customHeight="1" x14ac:dyDescent="0.35">
      <c r="A45" s="335"/>
      <c r="B45" s="335" t="str">
        <f>'06 Energy'!$K$103&amp;" - "&amp;'06 Energy'!$M$88</f>
        <v>Percent Carbon Reduction from Benchmark - Measured</v>
      </c>
      <c r="C45" s="335"/>
      <c r="D45" s="1471">
        <v>0</v>
      </c>
      <c r="E45" s="412">
        <f>Operational_Carbon_Percent_Reduction_Measured</f>
        <v>0</v>
      </c>
      <c r="F45" s="1462">
        <v>1</v>
      </c>
      <c r="G45" s="335"/>
      <c r="H45" s="329"/>
      <c r="M45" s="329"/>
      <c r="N45" s="329"/>
      <c r="P45" s="22"/>
      <c r="Q45" s="22"/>
      <c r="R45" s="22"/>
      <c r="S45" s="22"/>
      <c r="T45" s="22"/>
      <c r="U45" s="22"/>
      <c r="V45" s="22"/>
      <c r="W45" s="22"/>
      <c r="X45" s="22"/>
      <c r="Y45" s="22"/>
      <c r="Z45" s="22"/>
      <c r="AA45" s="22"/>
      <c r="AB45" s="22"/>
      <c r="AC45" s="22"/>
    </row>
    <row r="46" spans="1:29" ht="15.75" customHeight="1" x14ac:dyDescent="0.35">
      <c r="A46" s="335"/>
      <c r="B46" s="335" t="str">
        <f>'06 Energy'!$K$103&amp;" - "&amp;'06 Energy'!$N$88</f>
        <v>Percent Carbon Reduction from Benchmark - Predicted</v>
      </c>
      <c r="C46" s="335"/>
      <c r="D46" s="1471">
        <v>0</v>
      </c>
      <c r="E46" s="412">
        <f>Operational_Carbon_Percent_Reduction_Predicted</f>
        <v>0</v>
      </c>
      <c r="F46" s="1462">
        <v>1</v>
      </c>
      <c r="G46" s="335"/>
      <c r="H46" s="329"/>
      <c r="M46" s="329"/>
      <c r="N46" s="329"/>
      <c r="P46" s="22"/>
      <c r="Q46" s="22"/>
      <c r="R46" s="22"/>
      <c r="S46" s="22"/>
      <c r="T46" s="22"/>
      <c r="U46" s="22"/>
      <c r="V46" s="22"/>
      <c r="W46" s="22"/>
      <c r="X46" s="22"/>
      <c r="Y46" s="22"/>
      <c r="Z46" s="22"/>
      <c r="AA46" s="22"/>
      <c r="AB46" s="22"/>
      <c r="AC46" s="22"/>
    </row>
    <row r="47" spans="1:29" ht="15.75" customHeight="1" x14ac:dyDescent="0.35">
      <c r="A47" s="335"/>
      <c r="B47" s="335" t="str">
        <f>'06 Energy'!E116</f>
        <v>LPD Reduction</v>
      </c>
      <c r="C47" s="335"/>
      <c r="D47" s="1471">
        <v>0</v>
      </c>
      <c r="E47" s="412">
        <f ca="1">LPD_Reduction</f>
        <v>0</v>
      </c>
      <c r="F47" s="1462">
        <v>0.75</v>
      </c>
      <c r="G47" s="335"/>
      <c r="H47" s="329"/>
      <c r="M47" s="329"/>
      <c r="N47" s="329"/>
      <c r="P47" s="22"/>
      <c r="Q47" s="22"/>
      <c r="R47" s="22"/>
      <c r="S47" s="22"/>
      <c r="T47" s="22"/>
      <c r="U47" s="22"/>
      <c r="V47" s="22"/>
      <c r="W47" s="22"/>
      <c r="X47" s="22"/>
      <c r="Y47" s="22"/>
      <c r="Z47" s="22"/>
      <c r="AA47" s="22"/>
      <c r="AB47" s="22"/>
      <c r="AC47" s="22"/>
    </row>
    <row r="48" spans="1:29" ht="15.75" customHeight="1" x14ac:dyDescent="0.35">
      <c r="A48" s="335"/>
      <c r="B48" s="335"/>
      <c r="C48" s="335"/>
      <c r="D48" s="1471"/>
      <c r="E48" s="412"/>
      <c r="F48" s="1462"/>
      <c r="G48" s="335"/>
      <c r="H48" s="329"/>
      <c r="M48" s="329"/>
      <c r="N48" s="329"/>
      <c r="P48" s="408"/>
      <c r="Q48" s="408"/>
      <c r="R48" s="408"/>
      <c r="S48" s="408"/>
      <c r="T48" s="408"/>
      <c r="U48" s="408"/>
      <c r="V48" s="408"/>
      <c r="W48" s="408"/>
      <c r="X48" s="408"/>
      <c r="Y48" s="408"/>
      <c r="Z48" s="408"/>
      <c r="AA48" s="408"/>
      <c r="AB48" s="408"/>
      <c r="AC48" s="408"/>
    </row>
    <row r="49" spans="1:29" ht="15.75" customHeight="1" x14ac:dyDescent="0.35">
      <c r="A49" s="1443" t="str">
        <f>'07 Well-Being'!B1</f>
        <v>7 - Design for Well-Being</v>
      </c>
      <c r="B49" s="1443"/>
      <c r="C49" s="1447"/>
      <c r="D49" s="1474"/>
      <c r="E49" s="1446"/>
      <c r="F49" s="1460"/>
      <c r="G49" s="335"/>
      <c r="H49" s="329"/>
      <c r="M49" s="329"/>
      <c r="N49" s="329"/>
      <c r="P49" s="408"/>
      <c r="Q49" s="408"/>
      <c r="R49" s="408"/>
      <c r="S49" s="408"/>
      <c r="T49" s="408"/>
      <c r="U49" s="408"/>
      <c r="V49" s="408"/>
      <c r="W49" s="408"/>
      <c r="X49" s="408"/>
      <c r="Y49" s="408"/>
      <c r="Z49" s="408"/>
      <c r="AA49" s="408"/>
      <c r="AB49" s="408"/>
      <c r="AC49" s="408"/>
    </row>
    <row r="50" spans="1:29" ht="15.75" customHeight="1" x14ac:dyDescent="0.35">
      <c r="A50" s="335"/>
      <c r="B50" s="335" t="str">
        <f>'07 Well-Being'!E15</f>
        <v>Percent of Regularly Occupied Area that is Daylit</v>
      </c>
      <c r="C50" s="335"/>
      <c r="D50" s="1471">
        <v>0</v>
      </c>
      <c r="E50" s="412">
        <f>Percent_Regularly_Occupied_Space_sDA_Compliant</f>
        <v>0</v>
      </c>
      <c r="F50" s="1462">
        <v>1</v>
      </c>
      <c r="G50" s="335"/>
      <c r="H50" s="329"/>
      <c r="M50" s="329"/>
      <c r="N50" s="329"/>
      <c r="P50" s="22"/>
      <c r="Q50" s="22"/>
      <c r="R50" s="22"/>
      <c r="S50" s="22"/>
      <c r="T50" s="22"/>
      <c r="U50" s="22"/>
      <c r="V50" s="22"/>
      <c r="W50" s="22"/>
      <c r="X50" s="22"/>
      <c r="Y50" s="22"/>
      <c r="Z50" s="22"/>
      <c r="AA50" s="22"/>
      <c r="AB50" s="22"/>
      <c r="AC50" s="22"/>
    </row>
    <row r="51" spans="1:29" ht="15.75" customHeight="1" x14ac:dyDescent="0.35">
      <c r="A51" s="335"/>
      <c r="B51" s="335" t="str">
        <f>'07 Well-Being'!E16</f>
        <v>Percent of Regularly Occupied Area that Experiences Glare</v>
      </c>
      <c r="C51" s="335"/>
      <c r="D51" s="1471">
        <v>1</v>
      </c>
      <c r="E51" s="412">
        <f>Percent_Regularly_Occupied_Space_ASE_Compliant</f>
        <v>0</v>
      </c>
      <c r="F51" s="1462">
        <v>0</v>
      </c>
      <c r="G51" s="335"/>
      <c r="H51" s="411"/>
      <c r="I51" s="408"/>
      <c r="J51" s="408"/>
      <c r="K51" s="408"/>
      <c r="L51" s="408"/>
      <c r="M51" s="410"/>
      <c r="N51" s="410"/>
      <c r="O51" s="411"/>
      <c r="P51" s="22"/>
      <c r="Q51" s="22"/>
      <c r="R51" s="22"/>
      <c r="S51" s="22"/>
      <c r="T51" s="22"/>
      <c r="U51" s="22"/>
      <c r="V51" s="22"/>
      <c r="W51" s="22"/>
      <c r="X51" s="22"/>
      <c r="Y51" s="22"/>
      <c r="Z51" s="22"/>
      <c r="AA51" s="22"/>
      <c r="AB51" s="22"/>
      <c r="AC51" s="22"/>
    </row>
    <row r="52" spans="1:29" ht="15.75" customHeight="1" x14ac:dyDescent="0.35">
      <c r="A52" s="335"/>
      <c r="B52" s="335" t="str">
        <f>'07 Well-Being'!E20</f>
        <v>Percent of Regularly Occupied Area with Quality Views</v>
      </c>
      <c r="C52" s="335"/>
      <c r="D52" s="1471">
        <v>0</v>
      </c>
      <c r="E52" s="412">
        <f>Percent_Regularly_Occupied_Space_with_Quality_Views</f>
        <v>0</v>
      </c>
      <c r="F52" s="1462">
        <v>1</v>
      </c>
      <c r="G52" s="335"/>
      <c r="H52" s="411"/>
      <c r="I52" s="408"/>
      <c r="J52" s="408"/>
      <c r="K52" s="408"/>
      <c r="L52" s="408"/>
      <c r="M52" s="410"/>
      <c r="N52" s="410"/>
      <c r="O52" s="411"/>
      <c r="P52" s="22"/>
      <c r="Q52" s="22"/>
      <c r="R52" s="22"/>
      <c r="S52" s="22"/>
      <c r="T52" s="22"/>
      <c r="U52" s="22"/>
      <c r="V52" s="22"/>
      <c r="W52" s="22"/>
      <c r="X52" s="22"/>
      <c r="Y52" s="22"/>
      <c r="Z52" s="22"/>
      <c r="AA52" s="22"/>
      <c r="AB52" s="22"/>
      <c r="AC52" s="22"/>
    </row>
    <row r="53" spans="1:29" ht="15.75" customHeight="1" x14ac:dyDescent="0.35">
      <c r="A53" s="335"/>
      <c r="B53" s="335" t="str">
        <f>'07 Well-Being'!E40</f>
        <v>Occupant Control Score</v>
      </c>
      <c r="C53" s="335"/>
      <c r="D53" s="1471">
        <v>0</v>
      </c>
      <c r="E53" s="412">
        <f>'07 Well-Being'!F40</f>
        <v>0</v>
      </c>
      <c r="F53" s="1462">
        <v>1</v>
      </c>
      <c r="G53" s="335"/>
      <c r="H53" s="411"/>
      <c r="I53" s="408"/>
      <c r="J53" s="408"/>
      <c r="K53" s="408"/>
      <c r="L53" s="408"/>
      <c r="M53" s="410"/>
      <c r="N53" s="410"/>
      <c r="O53" s="411"/>
      <c r="P53" s="22"/>
      <c r="Q53" s="22"/>
      <c r="R53" s="22"/>
      <c r="S53" s="22"/>
      <c r="T53" s="22"/>
      <c r="U53" s="22"/>
      <c r="V53" s="22"/>
      <c r="W53" s="22"/>
      <c r="X53" s="22"/>
      <c r="Y53" s="22"/>
      <c r="Z53" s="22"/>
      <c r="AA53" s="22"/>
      <c r="AB53" s="22"/>
      <c r="AC53" s="22"/>
    </row>
    <row r="54" spans="1:29" ht="15.75" customHeight="1" x14ac:dyDescent="0.35">
      <c r="A54" s="335"/>
      <c r="B54" s="335" t="str">
        <f>'07 Well-Being'!E61</f>
        <v>Is CO2 measured?</v>
      </c>
      <c r="C54" s="335"/>
      <c r="D54" s="1470" t="s">
        <v>520</v>
      </c>
      <c r="E54" s="1435" t="b">
        <f>IF('07 Well-Being'!F61="No",0, IF('07 Well-Being'!F61="YES",1))</f>
        <v>0</v>
      </c>
      <c r="F54" s="1461" t="s">
        <v>521</v>
      </c>
      <c r="G54" s="335"/>
      <c r="H54" s="411"/>
      <c r="I54" s="408"/>
      <c r="J54" s="408"/>
      <c r="K54" s="408"/>
      <c r="L54" s="408"/>
      <c r="M54" s="410"/>
      <c r="N54" s="410"/>
      <c r="O54" s="411"/>
      <c r="P54" s="22"/>
      <c r="Q54" s="22"/>
      <c r="R54" s="22"/>
      <c r="S54" s="22"/>
      <c r="T54" s="22"/>
      <c r="U54" s="22"/>
      <c r="V54" s="22"/>
      <c r="W54" s="22"/>
      <c r="X54" s="22"/>
      <c r="Y54" s="22"/>
      <c r="Z54" s="22"/>
      <c r="AA54" s="22"/>
      <c r="AB54" s="22"/>
      <c r="AC54" s="22"/>
    </row>
    <row r="55" spans="1:29" ht="15.75" customHeight="1" x14ac:dyDescent="0.35">
      <c r="A55" s="335"/>
      <c r="B55" s="335" t="str">
        <f>'07 Well-Being'!E68</f>
        <v>Percent of densely occupied spaces with CO2 sensor monitoring</v>
      </c>
      <c r="C55" s="335"/>
      <c r="D55" s="1471">
        <v>0</v>
      </c>
      <c r="E55" s="412">
        <f>'07 Well-Being'!F68</f>
        <v>0</v>
      </c>
      <c r="F55" s="1462">
        <v>1</v>
      </c>
      <c r="G55" s="335"/>
      <c r="H55" s="411"/>
      <c r="I55" s="408"/>
      <c r="J55" s="408"/>
      <c r="K55" s="408"/>
      <c r="L55" s="408"/>
      <c r="M55" s="410"/>
      <c r="N55" s="410"/>
      <c r="O55" s="411"/>
      <c r="P55" s="22"/>
      <c r="Q55" s="22"/>
      <c r="R55" s="22"/>
      <c r="S55" s="22"/>
      <c r="T55" s="22"/>
      <c r="U55" s="22"/>
      <c r="V55" s="22"/>
      <c r="W55" s="22"/>
      <c r="X55" s="22"/>
      <c r="Y55" s="22"/>
      <c r="Z55" s="22"/>
      <c r="AA55" s="22"/>
      <c r="AB55" s="22"/>
      <c r="AC55" s="22"/>
    </row>
    <row r="56" spans="1:29" ht="15.75" customHeight="1" x14ac:dyDescent="0.35">
      <c r="A56" s="335"/>
      <c r="B56" s="335" t="s">
        <v>950</v>
      </c>
      <c r="C56" s="335"/>
      <c r="D56" s="1470">
        <v>0</v>
      </c>
      <c r="E56" s="1435">
        <f>Count_Materials_with_Health_Certifications</f>
        <v>0</v>
      </c>
      <c r="F56" s="1461" t="s">
        <v>908</v>
      </c>
      <c r="G56" s="335"/>
      <c r="H56" s="411"/>
      <c r="I56" s="408"/>
      <c r="J56" s="408"/>
      <c r="K56" s="408"/>
      <c r="L56" s="408"/>
      <c r="M56" s="410"/>
      <c r="N56" s="410"/>
      <c r="O56" s="411"/>
      <c r="P56" s="22"/>
      <c r="Q56" s="22"/>
      <c r="R56" s="22"/>
      <c r="S56" s="22"/>
      <c r="T56" s="22"/>
      <c r="U56" s="22"/>
      <c r="V56" s="22"/>
      <c r="W56" s="22"/>
      <c r="X56" s="22"/>
      <c r="Y56" s="22"/>
      <c r="Z56" s="22"/>
      <c r="AA56" s="22"/>
      <c r="AB56" s="22"/>
      <c r="AC56" s="22"/>
    </row>
    <row r="57" spans="1:29" ht="15.75" customHeight="1" x14ac:dyDescent="0.35">
      <c r="A57" s="335"/>
      <c r="B57" s="335" t="s">
        <v>817</v>
      </c>
      <c r="C57" s="335"/>
      <c r="D57" s="1470" t="s">
        <v>520</v>
      </c>
      <c r="E57" s="1435" t="b">
        <f>IF('07 Well-Being'!F90="No",0,IF('07 Well-Being'!F90="YES",1))</f>
        <v>0</v>
      </c>
      <c r="F57" s="1461" t="s">
        <v>521</v>
      </c>
      <c r="G57" s="335"/>
      <c r="H57" s="411"/>
      <c r="I57" s="408"/>
      <c r="J57" s="408"/>
      <c r="K57" s="408"/>
      <c r="L57" s="408"/>
      <c r="M57" s="410"/>
      <c r="N57" s="410"/>
      <c r="O57" s="411"/>
      <c r="P57" s="22"/>
      <c r="Q57" s="22"/>
      <c r="R57" s="22"/>
      <c r="S57" s="22"/>
      <c r="T57" s="22"/>
      <c r="U57" s="22"/>
      <c r="V57" s="22"/>
      <c r="W57" s="22"/>
      <c r="X57" s="22"/>
      <c r="Y57" s="22"/>
      <c r="Z57" s="22"/>
      <c r="AA57" s="22"/>
      <c r="AB57" s="22"/>
      <c r="AC57" s="22"/>
    </row>
    <row r="58" spans="1:29" ht="15.75" customHeight="1" x14ac:dyDescent="0.35">
      <c r="A58" s="335"/>
      <c r="B58" s="335"/>
      <c r="C58" s="335"/>
      <c r="D58" s="1470"/>
      <c r="E58" s="1435"/>
      <c r="F58" s="1461"/>
      <c r="G58" s="335"/>
      <c r="H58" s="411"/>
      <c r="I58" s="408"/>
      <c r="J58" s="408"/>
      <c r="K58" s="408"/>
      <c r="L58" s="408"/>
      <c r="M58" s="410"/>
      <c r="N58" s="410"/>
      <c r="O58" s="411"/>
      <c r="P58" s="22"/>
      <c r="Q58" s="22"/>
      <c r="R58" s="22"/>
      <c r="S58" s="22"/>
      <c r="T58" s="22"/>
      <c r="U58" s="22"/>
      <c r="V58" s="22"/>
      <c r="W58" s="22"/>
      <c r="X58" s="22"/>
      <c r="Y58" s="22"/>
      <c r="Z58" s="22"/>
      <c r="AA58" s="22"/>
      <c r="AB58" s="22"/>
      <c r="AC58" s="22"/>
    </row>
    <row r="59" spans="1:29" ht="15.75" customHeight="1" x14ac:dyDescent="0.35">
      <c r="A59" s="1443" t="str">
        <f>'08 Resources'!B1</f>
        <v>8 - Design for Resources</v>
      </c>
      <c r="B59" s="1443"/>
      <c r="C59" s="1447"/>
      <c r="D59" s="1474"/>
      <c r="E59" s="1446"/>
      <c r="F59" s="1460"/>
      <c r="G59" s="335"/>
      <c r="H59" s="411"/>
      <c r="I59" s="408"/>
      <c r="J59" s="408"/>
      <c r="K59" s="408"/>
      <c r="L59" s="408"/>
      <c r="M59" s="410"/>
      <c r="N59" s="410"/>
      <c r="O59" s="411"/>
      <c r="P59" s="408"/>
      <c r="Q59" s="408"/>
      <c r="R59" s="408"/>
      <c r="S59" s="408"/>
      <c r="T59" s="408"/>
      <c r="U59" s="408"/>
      <c r="V59" s="408"/>
      <c r="W59" s="408"/>
      <c r="X59" s="408"/>
      <c r="Y59" s="408"/>
      <c r="Z59" s="408"/>
      <c r="AA59" s="408"/>
      <c r="AB59" s="408"/>
      <c r="AC59" s="408"/>
    </row>
    <row r="60" spans="1:29" ht="15.75" customHeight="1" x14ac:dyDescent="0.35">
      <c r="A60" s="1431"/>
      <c r="B60" s="446" t="str">
        <f>'08 Resources'!E15</f>
        <v>Percentage of Floor Area that was Reused or Adapted</v>
      </c>
      <c r="C60" s="1431"/>
      <c r="D60" s="1471">
        <v>0</v>
      </c>
      <c r="E60" s="412">
        <f>Percent_Building_Area_Reused</f>
        <v>0</v>
      </c>
      <c r="F60" s="1462">
        <v>1</v>
      </c>
      <c r="G60" s="335"/>
      <c r="H60" s="411"/>
      <c r="I60" s="408"/>
      <c r="J60" s="408"/>
      <c r="K60" s="408"/>
      <c r="L60" s="408"/>
      <c r="M60" s="410"/>
      <c r="N60" s="410"/>
      <c r="O60" s="411"/>
      <c r="P60" s="22"/>
      <c r="Q60" s="22"/>
      <c r="R60" s="22"/>
      <c r="S60" s="22"/>
      <c r="T60" s="22"/>
      <c r="U60" s="22"/>
      <c r="V60" s="22"/>
      <c r="W60" s="22"/>
      <c r="X60" s="22"/>
      <c r="Y60" s="22"/>
      <c r="Z60" s="22"/>
      <c r="AA60" s="22"/>
      <c r="AB60" s="22"/>
      <c r="AC60" s="22"/>
    </row>
    <row r="61" spans="1:29" ht="15.75" customHeight="1" x14ac:dyDescent="0.35">
      <c r="A61" s="335"/>
      <c r="B61" s="335" t="e">
        <f>'08 Resources'!#REF!</f>
        <v>#REF!</v>
      </c>
      <c r="C61" s="335"/>
      <c r="D61" s="1470" t="s">
        <v>520</v>
      </c>
      <c r="E61" s="1435" t="e">
        <f>IF('08 Resources'!#REF!="No",0,IF('08 Resources'!#REF!="Yes",1))</f>
        <v>#REF!</v>
      </c>
      <c r="F61" s="1461" t="s">
        <v>521</v>
      </c>
      <c r="G61" s="335"/>
      <c r="H61" s="411"/>
      <c r="I61" s="408"/>
      <c r="J61" s="408"/>
      <c r="K61" s="408"/>
      <c r="L61" s="408"/>
      <c r="M61" s="410"/>
      <c r="N61" s="410"/>
      <c r="O61" s="411"/>
      <c r="P61" s="22"/>
      <c r="Q61" s="22"/>
      <c r="R61" s="22"/>
      <c r="S61" s="22"/>
      <c r="T61" s="22"/>
      <c r="U61" s="22"/>
      <c r="V61" s="22"/>
      <c r="W61" s="22"/>
      <c r="X61" s="22"/>
      <c r="Y61" s="22"/>
      <c r="Z61" s="22"/>
      <c r="AA61" s="22"/>
      <c r="AB61" s="22"/>
      <c r="AC61" s="22"/>
    </row>
    <row r="62" spans="1:29" ht="15.75" customHeight="1" x14ac:dyDescent="0.4">
      <c r="A62" s="335"/>
      <c r="B62" s="335" t="str">
        <f>'08 Resources'!E50</f>
        <v>Total Predicted Embodied Carbon</v>
      </c>
      <c r="C62" s="335"/>
      <c r="E62" s="1436">
        <f>Embodied_Carbon_Total_Proposed</f>
        <v>0</v>
      </c>
      <c r="F62" s="1462" t="s">
        <v>413</v>
      </c>
      <c r="G62" s="335"/>
      <c r="H62" s="411"/>
      <c r="I62" s="408"/>
      <c r="J62" s="408"/>
      <c r="K62" s="408"/>
      <c r="L62" s="408"/>
      <c r="M62" s="410"/>
      <c r="N62" s="410"/>
      <c r="O62" s="411"/>
      <c r="P62" s="22"/>
      <c r="Q62" s="22"/>
      <c r="R62" s="22"/>
      <c r="S62" s="22"/>
      <c r="T62" s="22"/>
      <c r="U62" s="22"/>
      <c r="V62" s="22"/>
      <c r="W62" s="22"/>
      <c r="X62" s="22"/>
      <c r="Y62" s="22"/>
      <c r="Z62" s="22"/>
      <c r="AA62" s="22"/>
      <c r="AB62" s="22"/>
      <c r="AC62" s="22"/>
    </row>
    <row r="63" spans="1:29" ht="15.75" customHeight="1" x14ac:dyDescent="0.4">
      <c r="A63" s="335"/>
      <c r="B63" s="335" t="str">
        <f>'08 Resources'!E51</f>
        <v>Embodied Carbon Intensity</v>
      </c>
      <c r="C63" s="335"/>
      <c r="D63" s="1471"/>
      <c r="E63" s="1437">
        <f>Embodied_Carbon_Intensity_Proposed</f>
        <v>0</v>
      </c>
      <c r="F63" s="1462" t="s">
        <v>407</v>
      </c>
      <c r="G63" s="335"/>
      <c r="H63" s="411"/>
      <c r="I63" s="408"/>
      <c r="J63" s="408"/>
      <c r="K63" s="408"/>
      <c r="L63" s="408"/>
      <c r="M63" s="410"/>
      <c r="N63" s="410"/>
      <c r="O63" s="411"/>
      <c r="P63" s="22"/>
      <c r="Q63" s="22"/>
      <c r="R63" s="22"/>
      <c r="S63" s="22"/>
      <c r="T63" s="22"/>
      <c r="U63" s="22"/>
      <c r="V63" s="22"/>
      <c r="W63" s="22"/>
      <c r="X63" s="22"/>
      <c r="Y63" s="22"/>
      <c r="Z63" s="22"/>
      <c r="AA63" s="22"/>
      <c r="AB63" s="22"/>
      <c r="AC63" s="22"/>
    </row>
    <row r="64" spans="1:29" ht="15.75" customHeight="1" x14ac:dyDescent="0.35">
      <c r="A64" s="335"/>
      <c r="B64" s="335" t="str">
        <f>'08 Resources'!E63</f>
        <v>Embodied Carbon Reduction Score</v>
      </c>
      <c r="C64" s="335"/>
      <c r="D64" s="1471">
        <v>0</v>
      </c>
      <c r="E64" s="412">
        <f>'08 Resources'!F63</f>
        <v>0</v>
      </c>
      <c r="F64" s="1462">
        <v>1</v>
      </c>
      <c r="G64" s="335"/>
      <c r="H64" s="411"/>
      <c r="I64" s="408"/>
      <c r="J64" s="408"/>
      <c r="K64" s="408"/>
      <c r="L64" s="408"/>
      <c r="M64" s="410"/>
      <c r="N64" s="410"/>
      <c r="O64" s="411"/>
      <c r="P64" s="22"/>
      <c r="Q64" s="22"/>
      <c r="R64" s="22"/>
      <c r="S64" s="22"/>
      <c r="T64" s="22"/>
      <c r="U64" s="22"/>
      <c r="V64" s="22"/>
      <c r="W64" s="22"/>
      <c r="X64" s="22"/>
      <c r="Y64" s="22"/>
      <c r="Z64" s="22"/>
      <c r="AA64" s="22"/>
      <c r="AB64" s="22"/>
      <c r="AC64" s="22"/>
    </row>
    <row r="65" spans="1:29" ht="15.75" customHeight="1" x14ac:dyDescent="0.35">
      <c r="A65" s="335"/>
      <c r="B65" s="335" t="str">
        <f>'08 Resources'!E72</f>
        <v>No. of EPDs Collected</v>
      </c>
      <c r="C65" s="335"/>
      <c r="D65" s="1470">
        <v>0</v>
      </c>
      <c r="E65" s="412">
        <f>'08 Resources'!F72</f>
        <v>0</v>
      </c>
      <c r="F65" s="1462" t="s">
        <v>952</v>
      </c>
      <c r="G65" s="335"/>
      <c r="H65" s="411"/>
      <c r="I65" s="408"/>
      <c r="J65" s="408"/>
      <c r="K65" s="408"/>
      <c r="L65" s="408"/>
      <c r="M65" s="410"/>
      <c r="N65" s="410"/>
      <c r="O65" s="411"/>
      <c r="P65" s="22"/>
      <c r="Q65" s="22"/>
      <c r="R65" s="22"/>
      <c r="S65" s="22"/>
      <c r="T65" s="22"/>
      <c r="U65" s="22"/>
      <c r="V65" s="22"/>
      <c r="W65" s="22"/>
      <c r="X65" s="22"/>
      <c r="Y65" s="22"/>
      <c r="Z65" s="22"/>
      <c r="AA65" s="22"/>
      <c r="AB65" s="22"/>
      <c r="AC65" s="22"/>
    </row>
    <row r="66" spans="1:29" ht="15.75" customHeight="1" x14ac:dyDescent="0.35">
      <c r="A66" s="1431"/>
      <c r="B66" s="446" t="str">
        <f>'08 Resources'!E77</f>
        <v>Percent of Construction Waste Diverted</v>
      </c>
      <c r="C66" s="1431"/>
      <c r="D66" s="1471">
        <v>0</v>
      </c>
      <c r="E66" s="412">
        <f>Percent_Construction_Waste_Diverted</f>
        <v>0</v>
      </c>
      <c r="F66" s="1462">
        <v>1</v>
      </c>
      <c r="G66" s="335"/>
      <c r="H66" s="411"/>
      <c r="I66" s="408"/>
      <c r="J66" s="408"/>
      <c r="K66" s="408"/>
      <c r="L66" s="408"/>
      <c r="M66" s="410"/>
      <c r="N66" s="410"/>
      <c r="O66" s="411"/>
      <c r="P66" s="22"/>
      <c r="Q66" s="22"/>
      <c r="R66" s="22"/>
      <c r="S66" s="22"/>
      <c r="T66" s="22"/>
      <c r="U66" s="22"/>
      <c r="V66" s="22"/>
      <c r="W66" s="22"/>
      <c r="X66" s="22"/>
      <c r="Y66" s="22"/>
      <c r="Z66" s="22"/>
      <c r="AA66" s="22"/>
      <c r="AB66" s="22"/>
      <c r="AC66" s="22"/>
    </row>
    <row r="67" spans="1:29" ht="15.75" customHeight="1" x14ac:dyDescent="0.35">
      <c r="A67" s="1431"/>
      <c r="B67" s="446" t="str">
        <f>'08 Resources'!E92</f>
        <v>Percent of Materials Recycled</v>
      </c>
      <c r="C67" s="1431"/>
      <c r="D67" s="1471">
        <v>0</v>
      </c>
      <c r="E67" s="412">
        <f>Percent_Material_Cost_Recycled</f>
        <v>0</v>
      </c>
      <c r="F67" s="1462">
        <v>1</v>
      </c>
      <c r="G67" s="335"/>
      <c r="H67" s="411"/>
      <c r="I67" s="408"/>
      <c r="J67" s="408"/>
      <c r="K67" s="408"/>
      <c r="L67" s="408"/>
      <c r="M67" s="410"/>
      <c r="N67" s="410"/>
      <c r="O67" s="411"/>
      <c r="P67" s="22"/>
      <c r="Q67" s="22"/>
      <c r="R67" s="22"/>
      <c r="S67" s="22"/>
      <c r="T67" s="22"/>
      <c r="U67" s="22"/>
      <c r="V67" s="22"/>
      <c r="W67" s="22"/>
      <c r="X67" s="22"/>
      <c r="Y67" s="22"/>
      <c r="Z67" s="22"/>
      <c r="AA67" s="22"/>
      <c r="AB67" s="22"/>
      <c r="AC67" s="22"/>
    </row>
    <row r="68" spans="1:29" ht="15.75" customHeight="1" x14ac:dyDescent="0.35">
      <c r="A68" s="335"/>
      <c r="B68" s="446" t="str">
        <f>'08 Resources'!E96</f>
        <v>Percent of Materials Regional</v>
      </c>
      <c r="C68" s="335"/>
      <c r="D68" s="1471">
        <v>0</v>
      </c>
      <c r="E68" s="412">
        <f>Percent_Material_Cost_Regional</f>
        <v>0</v>
      </c>
      <c r="F68" s="1462">
        <v>1</v>
      </c>
      <c r="G68" s="335"/>
      <c r="H68" s="411"/>
      <c r="I68" s="408"/>
      <c r="J68" s="408"/>
      <c r="K68" s="408"/>
      <c r="L68" s="408"/>
      <c r="M68" s="410"/>
      <c r="N68" s="410"/>
      <c r="O68" s="411"/>
      <c r="P68" s="22"/>
      <c r="Q68" s="22"/>
      <c r="R68" s="22"/>
      <c r="S68" s="22"/>
      <c r="T68" s="22"/>
      <c r="U68" s="22"/>
      <c r="V68" s="22"/>
      <c r="W68" s="22"/>
      <c r="X68" s="22"/>
      <c r="Y68" s="22"/>
      <c r="Z68" s="22"/>
      <c r="AA68" s="22"/>
      <c r="AB68" s="22"/>
      <c r="AC68" s="22"/>
    </row>
    <row r="69" spans="1:29" ht="15.75" customHeight="1" x14ac:dyDescent="0.35">
      <c r="A69" s="335"/>
      <c r="B69" s="446" t="str">
        <f>'08 Resources'!E100</f>
        <v>Percent of Materials Reused/Salvaged</v>
      </c>
      <c r="C69" s="335"/>
      <c r="D69" s="1471">
        <v>0</v>
      </c>
      <c r="E69" s="412">
        <f>Percent_Material_Cost_Reused</f>
        <v>0</v>
      </c>
      <c r="F69" s="1462">
        <v>1</v>
      </c>
      <c r="G69" s="335"/>
      <c r="H69" s="411"/>
      <c r="I69" s="408"/>
      <c r="J69" s="408"/>
      <c r="K69" s="408"/>
      <c r="L69" s="408"/>
      <c r="M69" s="410"/>
      <c r="N69" s="410"/>
      <c r="O69" s="411"/>
      <c r="P69" s="22"/>
      <c r="Q69" s="22"/>
      <c r="R69" s="22"/>
      <c r="S69" s="22"/>
      <c r="T69" s="22"/>
      <c r="U69" s="22"/>
      <c r="V69" s="22"/>
      <c r="W69" s="22"/>
      <c r="X69" s="22"/>
      <c r="Y69" s="22"/>
      <c r="Z69" s="22"/>
      <c r="AA69" s="22"/>
      <c r="AB69" s="22"/>
      <c r="AC69" s="22"/>
    </row>
    <row r="70" spans="1:29" ht="15.75" customHeight="1" x14ac:dyDescent="0.35">
      <c r="A70" s="335"/>
      <c r="B70" s="446" t="str">
        <f>'08 Resources'!E104</f>
        <v>Percent of Materials Biobased</v>
      </c>
      <c r="C70" s="335"/>
      <c r="D70" s="1471">
        <v>0</v>
      </c>
      <c r="E70" s="412">
        <f>Percent_Material_Cost_Biobased</f>
        <v>0</v>
      </c>
      <c r="F70" s="1462">
        <v>1</v>
      </c>
      <c r="G70" s="335"/>
      <c r="H70" s="411"/>
      <c r="I70" s="408"/>
      <c r="J70" s="408"/>
      <c r="K70" s="408"/>
      <c r="L70" s="408"/>
      <c r="M70" s="410"/>
      <c r="N70" s="410"/>
      <c r="O70" s="411"/>
      <c r="P70" s="22"/>
      <c r="Q70" s="22"/>
      <c r="R70" s="22"/>
      <c r="S70" s="22"/>
      <c r="T70" s="22"/>
      <c r="U70" s="22"/>
      <c r="V70" s="22"/>
      <c r="W70" s="22"/>
      <c r="X70" s="22"/>
      <c r="Y70" s="22"/>
      <c r="Z70" s="22"/>
      <c r="AA70" s="22"/>
      <c r="AB70" s="22"/>
      <c r="AC70" s="22"/>
    </row>
    <row r="71" spans="1:29" ht="15.75" customHeight="1" x14ac:dyDescent="0.35">
      <c r="A71" s="335"/>
      <c r="B71" s="446" t="str">
        <f>'08 Resources'!E108</f>
        <v>Percentage of Wood that is FSC Certified</v>
      </c>
      <c r="C71" s="335"/>
      <c r="D71" s="1471">
        <v>0</v>
      </c>
      <c r="E71" s="412">
        <f>Percent_Wood_FSC</f>
        <v>0</v>
      </c>
      <c r="F71" s="1462">
        <v>1</v>
      </c>
      <c r="G71" s="335"/>
      <c r="H71" s="411"/>
      <c r="I71" s="408"/>
      <c r="J71" s="408"/>
      <c r="K71" s="408"/>
      <c r="L71" s="408"/>
      <c r="M71" s="410"/>
      <c r="N71" s="410"/>
      <c r="O71" s="411"/>
      <c r="P71" s="22"/>
      <c r="Q71" s="22"/>
      <c r="R71" s="22"/>
      <c r="S71" s="22"/>
      <c r="T71" s="22"/>
      <c r="U71" s="22"/>
      <c r="V71" s="22"/>
      <c r="W71" s="22"/>
      <c r="X71" s="22"/>
      <c r="Y71" s="22"/>
      <c r="Z71" s="22"/>
      <c r="AA71" s="22"/>
      <c r="AB71" s="22"/>
      <c r="AC71" s="22"/>
    </row>
    <row r="72" spans="1:29" ht="15.75" customHeight="1" x14ac:dyDescent="0.35">
      <c r="A72" s="335"/>
      <c r="B72" s="446"/>
      <c r="C72" s="335"/>
      <c r="D72" s="1471"/>
      <c r="E72" s="412"/>
      <c r="F72" s="1462"/>
      <c r="G72" s="335"/>
      <c r="H72" s="411"/>
      <c r="I72" s="408"/>
      <c r="J72" s="408"/>
      <c r="K72" s="408"/>
      <c r="L72" s="408"/>
      <c r="M72" s="410"/>
      <c r="N72" s="410"/>
      <c r="O72" s="411"/>
      <c r="P72" s="22"/>
      <c r="Q72" s="22"/>
      <c r="R72" s="22"/>
      <c r="S72" s="22"/>
      <c r="T72" s="22"/>
      <c r="U72" s="22"/>
      <c r="V72" s="22"/>
      <c r="W72" s="22"/>
      <c r="X72" s="22"/>
      <c r="Y72" s="22"/>
      <c r="Z72" s="22"/>
      <c r="AA72" s="22"/>
      <c r="AB72" s="22"/>
      <c r="AC72" s="22"/>
    </row>
    <row r="73" spans="1:29" ht="15.75" customHeight="1" x14ac:dyDescent="0.35">
      <c r="A73" s="1443" t="str">
        <f>'09 Change'!B1</f>
        <v>9 - Design for Change</v>
      </c>
      <c r="B73" s="1443"/>
      <c r="C73" s="1447"/>
      <c r="D73" s="1474"/>
      <c r="E73" s="1446"/>
      <c r="F73" s="1460"/>
      <c r="G73" s="335"/>
      <c r="H73" s="411"/>
      <c r="I73" s="408"/>
      <c r="J73" s="408"/>
      <c r="K73" s="408"/>
      <c r="L73" s="408"/>
      <c r="M73" s="410"/>
      <c r="N73" s="410"/>
      <c r="O73" s="411"/>
      <c r="P73" s="408"/>
      <c r="Q73" s="408"/>
      <c r="R73" s="408"/>
      <c r="S73" s="408"/>
      <c r="T73" s="408"/>
      <c r="U73" s="408"/>
      <c r="V73" s="408"/>
      <c r="W73" s="408"/>
      <c r="X73" s="408"/>
      <c r="Y73" s="408"/>
      <c r="Z73" s="408"/>
      <c r="AA73" s="408"/>
      <c r="AB73" s="408"/>
      <c r="AC73" s="408"/>
    </row>
    <row r="74" spans="1:29" ht="15.75" customHeight="1" x14ac:dyDescent="0.35">
      <c r="A74" s="335"/>
      <c r="B74" s="335" t="str">
        <f>'09 Change'!E18</f>
        <v>Research Score</v>
      </c>
      <c r="C74" s="335"/>
      <c r="D74" s="1471">
        <v>0</v>
      </c>
      <c r="E74" s="1438">
        <f>IF(Hazard_Research_Score=0,0,Hazard_Research_Score)</f>
        <v>0</v>
      </c>
      <c r="F74" s="1462">
        <v>1</v>
      </c>
      <c r="G74" s="335"/>
      <c r="H74" s="411"/>
      <c r="I74" s="408"/>
      <c r="J74" s="408"/>
      <c r="K74" s="408"/>
      <c r="L74" s="408"/>
      <c r="M74" s="410"/>
      <c r="N74" s="410"/>
      <c r="O74" s="411"/>
      <c r="P74" s="22"/>
      <c r="Q74" s="22"/>
      <c r="R74" s="22"/>
      <c r="S74" s="22"/>
      <c r="T74" s="22"/>
      <c r="U74" s="22"/>
      <c r="V74" s="22"/>
      <c r="W74" s="22"/>
      <c r="X74" s="22"/>
      <c r="Y74" s="22"/>
      <c r="Z74" s="22"/>
      <c r="AA74" s="22"/>
      <c r="AB74" s="22"/>
      <c r="AC74" s="22"/>
    </row>
    <row r="75" spans="1:29" ht="15.75" customHeight="1" x14ac:dyDescent="0.35">
      <c r="A75" s="335"/>
      <c r="B75" s="335" t="str">
        <f>'09 Change'!E29</f>
        <v>Resiliency Score</v>
      </c>
      <c r="C75" s="335"/>
      <c r="D75" s="1471">
        <v>0</v>
      </c>
      <c r="E75" s="1439">
        <f>Resiliency_Score</f>
        <v>0</v>
      </c>
      <c r="F75" s="1462">
        <v>1</v>
      </c>
      <c r="G75" s="335"/>
      <c r="H75" s="411"/>
      <c r="I75" s="408"/>
      <c r="J75" s="408"/>
      <c r="K75" s="408"/>
      <c r="L75" s="408"/>
      <c r="M75" s="410"/>
      <c r="N75" s="410"/>
      <c r="O75" s="411"/>
      <c r="P75" s="22"/>
      <c r="Q75" s="22"/>
      <c r="R75" s="22"/>
      <c r="S75" s="22"/>
      <c r="T75" s="22"/>
      <c r="U75" s="22"/>
      <c r="V75" s="22"/>
      <c r="W75" s="22"/>
      <c r="X75" s="22"/>
      <c r="Y75" s="22"/>
      <c r="Z75" s="22"/>
      <c r="AA75" s="22"/>
      <c r="AB75" s="22"/>
      <c r="AC75" s="22"/>
    </row>
    <row r="76" spans="1:29" ht="15.75" customHeight="1" x14ac:dyDescent="0.35">
      <c r="A76" s="1431"/>
      <c r="B76" s="335" t="str">
        <f>'09 Change'!E35</f>
        <v>Building Design Lifespan</v>
      </c>
      <c r="C76" s="335"/>
      <c r="D76" s="1470">
        <v>30</v>
      </c>
      <c r="E76" s="1425" t="str">
        <f>IF(Building_Design_Lifespan=0,"",Building_Design_Lifespan)</f>
        <v/>
      </c>
      <c r="F76" s="1461">
        <v>200</v>
      </c>
      <c r="G76" s="335"/>
      <c r="H76" s="411"/>
      <c r="I76" s="408"/>
      <c r="J76" s="408"/>
      <c r="K76" s="408"/>
      <c r="L76" s="408"/>
      <c r="M76" s="410"/>
      <c r="N76" s="410"/>
      <c r="O76" s="411"/>
      <c r="P76" s="22"/>
      <c r="Q76" s="22"/>
      <c r="R76" s="22"/>
      <c r="S76" s="22"/>
      <c r="T76" s="22"/>
      <c r="U76" s="22"/>
      <c r="V76" s="22"/>
      <c r="W76" s="22"/>
      <c r="X76" s="22"/>
      <c r="Y76" s="22"/>
      <c r="Z76" s="22"/>
      <c r="AA76" s="22"/>
      <c r="AB76" s="22"/>
      <c r="AC76" s="22"/>
    </row>
    <row r="77" spans="1:29" ht="15.75" customHeight="1" x14ac:dyDescent="0.35">
      <c r="A77" s="1431"/>
      <c r="B77" s="335"/>
      <c r="C77" s="335"/>
      <c r="D77" s="1470"/>
      <c r="E77" s="1425"/>
      <c r="F77" s="1461"/>
      <c r="G77" s="335"/>
      <c r="H77" s="1429"/>
      <c r="I77" s="24"/>
      <c r="J77" s="24"/>
      <c r="K77" s="24"/>
      <c r="L77" s="24"/>
      <c r="M77" s="24"/>
      <c r="N77" s="24"/>
      <c r="O77" s="22"/>
      <c r="P77" s="22"/>
      <c r="Q77" s="22"/>
      <c r="R77" s="22"/>
      <c r="S77" s="22"/>
      <c r="T77" s="22"/>
      <c r="U77" s="22"/>
      <c r="V77" s="22"/>
      <c r="W77" s="22"/>
      <c r="X77" s="22"/>
      <c r="Y77" s="22"/>
      <c r="Z77" s="22"/>
      <c r="AA77" s="22"/>
      <c r="AB77" s="22"/>
      <c r="AC77" s="22"/>
    </row>
    <row r="78" spans="1:29" ht="15.75" customHeight="1" x14ac:dyDescent="0.35">
      <c r="A78" s="1443" t="str">
        <f>'10 Discovery'!B1</f>
        <v>10 - Design for Discovery</v>
      </c>
      <c r="B78" s="1443"/>
      <c r="C78" s="1447"/>
      <c r="D78" s="1474"/>
      <c r="E78" s="1446"/>
      <c r="F78" s="1460"/>
      <c r="G78" s="335"/>
      <c r="H78" s="1429"/>
      <c r="I78" s="24"/>
      <c r="J78" s="24"/>
      <c r="K78" s="24"/>
      <c r="L78" s="24"/>
      <c r="M78" s="24"/>
      <c r="N78" s="24"/>
      <c r="O78" s="411"/>
      <c r="P78" s="408"/>
      <c r="Q78" s="408"/>
      <c r="R78" s="408"/>
      <c r="S78" s="408"/>
      <c r="T78" s="408"/>
      <c r="U78" s="408"/>
      <c r="V78" s="408"/>
      <c r="W78" s="408"/>
      <c r="X78" s="408"/>
      <c r="Y78" s="408"/>
      <c r="Z78" s="408"/>
      <c r="AA78" s="408"/>
      <c r="AB78" s="408"/>
      <c r="AC78" s="408"/>
    </row>
    <row r="79" spans="1:29" ht="15.75" customHeight="1" x14ac:dyDescent="0.35">
      <c r="A79" s="1431"/>
      <c r="B79" s="446" t="str">
        <f>'10 Discovery'!E11</f>
        <v>Commissioning Score</v>
      </c>
      <c r="C79" s="446"/>
      <c r="D79" s="1471">
        <v>0</v>
      </c>
      <c r="E79" s="412">
        <f>IF(Commissioning_Score=0,0,Commissioning_Score)</f>
        <v>0</v>
      </c>
      <c r="F79" s="1462">
        <v>1</v>
      </c>
      <c r="G79" s="335"/>
      <c r="H79" s="2"/>
      <c r="I79" s="22"/>
      <c r="J79" s="22"/>
      <c r="K79" s="22"/>
      <c r="L79" s="22"/>
      <c r="M79" s="23"/>
      <c r="N79" s="23"/>
      <c r="O79" s="22"/>
      <c r="P79" s="22"/>
      <c r="Q79" s="22"/>
      <c r="R79" s="22"/>
      <c r="S79" s="22"/>
      <c r="T79" s="22"/>
      <c r="U79" s="22"/>
      <c r="V79" s="22"/>
      <c r="W79" s="22"/>
      <c r="X79" s="22"/>
      <c r="Y79" s="22"/>
      <c r="Z79" s="22"/>
      <c r="AA79" s="22"/>
      <c r="AB79" s="22"/>
      <c r="AC79" s="22"/>
    </row>
    <row r="80" spans="1:29" ht="15.75" customHeight="1" x14ac:dyDescent="0.35">
      <c r="A80" s="1427"/>
      <c r="B80" s="446" t="str">
        <f>'10 Discovery'!E24</f>
        <v>Post Occupancy Evaluation Score</v>
      </c>
      <c r="C80" s="446"/>
      <c r="D80" s="1471">
        <v>0</v>
      </c>
      <c r="E80" s="412">
        <f>IF(Post_Occupancy_Evaluation_Score=0,0,Post_Occupancy_Evaluation_Score)</f>
        <v>0</v>
      </c>
      <c r="F80" s="1462">
        <v>1</v>
      </c>
      <c r="G80" s="335"/>
      <c r="H80" s="2"/>
      <c r="I80" s="22"/>
      <c r="J80" s="22"/>
      <c r="K80" s="22"/>
      <c r="L80" s="22"/>
      <c r="M80" s="23"/>
      <c r="N80" s="23"/>
      <c r="O80" s="22"/>
      <c r="P80" s="22"/>
      <c r="Q80" s="22"/>
      <c r="R80" s="22"/>
      <c r="S80" s="22"/>
      <c r="T80" s="22"/>
      <c r="U80" s="22"/>
      <c r="V80" s="22"/>
      <c r="W80" s="22"/>
      <c r="X80" s="22"/>
      <c r="Y80" s="22"/>
      <c r="Z80" s="22"/>
      <c r="AA80" s="22"/>
      <c r="AB80" s="22"/>
      <c r="AC80" s="22"/>
    </row>
    <row r="81" spans="1:29" ht="15.75" customHeight="1" x14ac:dyDescent="0.35">
      <c r="A81" s="1431"/>
      <c r="B81" s="446" t="str">
        <f>'10 Discovery'!E40</f>
        <v>Transparency Score</v>
      </c>
      <c r="C81" s="446"/>
      <c r="D81" s="1471">
        <v>0</v>
      </c>
      <c r="E81" s="412">
        <f>IF(Transparency_Score=0,0,Transparency_Score)</f>
        <v>0</v>
      </c>
      <c r="F81" s="1462">
        <v>1</v>
      </c>
      <c r="G81" s="335"/>
      <c r="H81" s="2"/>
      <c r="I81" s="22"/>
      <c r="J81" s="22"/>
      <c r="K81" s="22"/>
      <c r="L81" s="22"/>
      <c r="M81" s="23"/>
      <c r="N81" s="23"/>
      <c r="O81" s="22"/>
      <c r="P81" s="22"/>
      <c r="Q81" s="22"/>
      <c r="R81" s="22"/>
      <c r="S81" s="22"/>
      <c r="T81" s="22"/>
      <c r="U81" s="22"/>
      <c r="V81" s="22"/>
      <c r="W81" s="22"/>
      <c r="X81" s="22"/>
      <c r="Y81" s="22"/>
      <c r="Z81" s="22"/>
      <c r="AA81" s="22"/>
      <c r="AB81" s="22"/>
      <c r="AC81" s="22"/>
    </row>
    <row r="82" spans="1:29" ht="15.75" customHeight="1" x14ac:dyDescent="0.35">
      <c r="A82" s="1440"/>
      <c r="B82" s="446" t="str">
        <f>'10 Discovery'!E48</f>
        <v>Feedback Score</v>
      </c>
      <c r="C82" s="446"/>
      <c r="D82" s="1471">
        <v>0</v>
      </c>
      <c r="E82" s="412">
        <f>IF(Feedback_Score=0,0,Feedback_Score)</f>
        <v>0</v>
      </c>
      <c r="F82" s="1462">
        <v>1</v>
      </c>
      <c r="G82" s="353"/>
      <c r="H82" s="2"/>
      <c r="I82" s="22"/>
      <c r="J82" s="22"/>
      <c r="K82" s="22"/>
      <c r="L82" s="22"/>
      <c r="M82" s="23"/>
      <c r="N82" s="23"/>
      <c r="O82" s="22"/>
      <c r="P82" s="22"/>
      <c r="Q82" s="22"/>
      <c r="R82" s="22"/>
      <c r="S82" s="22"/>
      <c r="T82" s="22"/>
      <c r="U82" s="22"/>
      <c r="V82" s="22"/>
      <c r="W82" s="22"/>
      <c r="X82" s="22"/>
      <c r="Y82" s="22"/>
      <c r="Z82" s="22"/>
      <c r="AA82" s="22"/>
      <c r="AB82" s="22"/>
      <c r="AC82" s="22"/>
    </row>
    <row r="83" spans="1:29" ht="15.75" customHeight="1" x14ac:dyDescent="0.35">
      <c r="A83" s="472"/>
      <c r="B83" s="472"/>
      <c r="C83" s="472"/>
      <c r="D83" s="1476"/>
      <c r="E83" s="1441"/>
      <c r="F83" s="1466"/>
      <c r="G83" s="472"/>
      <c r="H83" s="411"/>
      <c r="I83" s="408"/>
      <c r="J83" s="408"/>
      <c r="K83" s="408"/>
      <c r="L83" s="408"/>
      <c r="M83" s="410"/>
      <c r="N83" s="410"/>
      <c r="O83" s="408"/>
      <c r="P83" s="408"/>
      <c r="Q83" s="408"/>
      <c r="R83" s="408"/>
      <c r="S83" s="408"/>
      <c r="T83" s="408"/>
      <c r="U83" s="408"/>
      <c r="V83" s="408"/>
      <c r="W83" s="408"/>
      <c r="X83" s="408"/>
      <c r="Y83" s="408"/>
      <c r="Z83" s="408"/>
      <c r="AA83" s="408"/>
      <c r="AB83" s="408"/>
      <c r="AC83" s="408"/>
    </row>
    <row r="84" spans="1:29" ht="15.75" customHeight="1" x14ac:dyDescent="0.35">
      <c r="A84" s="472"/>
      <c r="B84" s="472"/>
      <c r="C84" s="472"/>
      <c r="D84" s="1476"/>
      <c r="E84" s="1441"/>
      <c r="F84" s="1466"/>
      <c r="G84" s="472"/>
      <c r="H84" s="1449"/>
      <c r="I84" s="410"/>
      <c r="J84" s="410"/>
      <c r="K84" s="410"/>
      <c r="L84" s="408"/>
      <c r="M84" s="410"/>
      <c r="N84" s="410"/>
      <c r="O84" s="408"/>
      <c r="P84" s="408"/>
      <c r="Q84" s="408"/>
      <c r="R84" s="408"/>
      <c r="S84" s="408"/>
      <c r="T84" s="408"/>
      <c r="U84" s="408"/>
      <c r="V84" s="408"/>
      <c r="W84" s="408"/>
      <c r="X84" s="408"/>
      <c r="Y84" s="408"/>
      <c r="Z84" s="408"/>
      <c r="AA84" s="408"/>
      <c r="AB84" s="408"/>
      <c r="AC84" s="408"/>
    </row>
    <row r="85" spans="1:29" ht="15.75" customHeight="1" x14ac:dyDescent="0.35">
      <c r="A85" s="472"/>
      <c r="B85" s="472"/>
      <c r="C85" s="472"/>
      <c r="D85" s="1476"/>
      <c r="E85" s="1441"/>
      <c r="F85" s="1466"/>
      <c r="G85" s="472"/>
      <c r="H85" s="1449"/>
      <c r="I85" s="410"/>
      <c r="J85" s="410"/>
      <c r="K85" s="410"/>
      <c r="L85" s="408"/>
      <c r="M85" s="410"/>
      <c r="N85" s="410"/>
      <c r="O85" s="408"/>
      <c r="P85" s="408"/>
      <c r="Q85" s="408"/>
      <c r="R85" s="408"/>
      <c r="S85" s="408"/>
      <c r="T85" s="408"/>
      <c r="U85" s="408"/>
      <c r="V85" s="408"/>
      <c r="W85" s="408"/>
      <c r="X85" s="408"/>
      <c r="Y85" s="408"/>
      <c r="Z85" s="408"/>
      <c r="AA85" s="408"/>
      <c r="AB85" s="408"/>
      <c r="AC85" s="408"/>
    </row>
    <row r="86" spans="1:29" ht="15.75" customHeight="1" x14ac:dyDescent="0.35">
      <c r="A86" s="472"/>
      <c r="B86" s="472"/>
      <c r="C86" s="472"/>
      <c r="D86" s="1476"/>
      <c r="E86" s="1441"/>
      <c r="F86" s="1466"/>
      <c r="G86" s="472"/>
      <c r="H86" s="1449"/>
      <c r="I86" s="410"/>
      <c r="J86" s="410"/>
      <c r="K86" s="410"/>
      <c r="L86" s="408"/>
      <c r="M86" s="410"/>
      <c r="N86" s="410"/>
      <c r="O86" s="408"/>
      <c r="P86" s="408"/>
      <c r="Q86" s="408"/>
      <c r="R86" s="408"/>
      <c r="S86" s="408"/>
      <c r="T86" s="408"/>
      <c r="U86" s="408"/>
      <c r="V86" s="408"/>
      <c r="W86" s="408"/>
      <c r="X86" s="408"/>
      <c r="Y86" s="408"/>
      <c r="Z86" s="408"/>
      <c r="AA86" s="408"/>
      <c r="AB86" s="408"/>
      <c r="AC86" s="408"/>
    </row>
    <row r="87" spans="1:29" ht="15.75" customHeight="1" x14ac:dyDescent="0.35">
      <c r="A87" s="472"/>
      <c r="B87" s="472"/>
      <c r="C87" s="472"/>
      <c r="D87" s="1476"/>
      <c r="E87" s="1442"/>
      <c r="F87" s="1466"/>
      <c r="G87" s="472"/>
      <c r="H87" s="1449"/>
      <c r="I87" s="410"/>
      <c r="J87" s="410"/>
      <c r="K87" s="410"/>
      <c r="L87" s="408"/>
      <c r="M87" s="410"/>
      <c r="N87" s="410"/>
      <c r="O87" s="408"/>
      <c r="P87" s="408"/>
      <c r="Q87" s="408"/>
      <c r="R87" s="408"/>
      <c r="S87" s="408"/>
      <c r="T87" s="408"/>
      <c r="U87" s="408"/>
      <c r="V87" s="408"/>
      <c r="W87" s="408"/>
      <c r="X87" s="408"/>
      <c r="Y87" s="408"/>
      <c r="Z87" s="408"/>
      <c r="AA87" s="408"/>
      <c r="AB87" s="408"/>
      <c r="AC87" s="408"/>
    </row>
    <row r="88" spans="1:29" ht="15.75" customHeight="1" x14ac:dyDescent="0.35">
      <c r="A88" s="472"/>
      <c r="B88" s="472"/>
      <c r="C88" s="472"/>
      <c r="D88" s="1476"/>
      <c r="E88" s="1442"/>
      <c r="F88" s="1466"/>
      <c r="G88" s="472"/>
      <c r="H88" s="1449"/>
      <c r="I88" s="410"/>
      <c r="J88" s="410"/>
      <c r="K88" s="410"/>
      <c r="L88" s="408"/>
      <c r="M88" s="410"/>
      <c r="N88" s="410"/>
      <c r="O88" s="408"/>
      <c r="P88" s="408"/>
      <c r="Q88" s="408"/>
      <c r="R88" s="408"/>
      <c r="S88" s="408"/>
      <c r="T88" s="408"/>
      <c r="U88" s="408"/>
      <c r="V88" s="408"/>
      <c r="W88" s="408"/>
      <c r="X88" s="408"/>
      <c r="Y88" s="408"/>
      <c r="Z88" s="408"/>
      <c r="AA88" s="408"/>
      <c r="AB88" s="408"/>
      <c r="AC88" s="408"/>
    </row>
    <row r="89" spans="1:29" ht="15.75" customHeight="1" x14ac:dyDescent="0.35">
      <c r="A89" s="472"/>
      <c r="B89" s="472"/>
      <c r="C89" s="472"/>
      <c r="D89" s="1476"/>
      <c r="E89" s="1442"/>
      <c r="F89" s="1466"/>
      <c r="G89" s="472"/>
      <c r="H89" s="1449"/>
      <c r="I89" s="410"/>
      <c r="J89" s="410"/>
      <c r="K89" s="410"/>
      <c r="L89" s="408"/>
      <c r="M89" s="410"/>
      <c r="N89" s="410"/>
      <c r="O89" s="408"/>
      <c r="P89" s="408"/>
      <c r="Q89" s="408"/>
      <c r="R89" s="408"/>
      <c r="S89" s="408"/>
      <c r="T89" s="408"/>
      <c r="U89" s="408"/>
      <c r="V89" s="408"/>
      <c r="W89" s="408"/>
      <c r="X89" s="408"/>
      <c r="Y89" s="408"/>
      <c r="Z89" s="408"/>
      <c r="AA89" s="408"/>
      <c r="AB89" s="408"/>
      <c r="AC89" s="408"/>
    </row>
    <row r="90" spans="1:29" ht="15.75" customHeight="1" x14ac:dyDescent="0.35">
      <c r="A90" s="472"/>
      <c r="B90" s="472"/>
      <c r="C90" s="472"/>
      <c r="D90" s="1476"/>
      <c r="E90" s="1442"/>
      <c r="F90" s="1466"/>
      <c r="G90" s="472"/>
      <c r="H90" s="1449"/>
      <c r="I90" s="410"/>
      <c r="J90" s="410"/>
      <c r="K90" s="410"/>
      <c r="L90" s="408"/>
      <c r="M90" s="410"/>
      <c r="N90" s="410"/>
      <c r="O90" s="408"/>
      <c r="P90" s="408"/>
      <c r="Q90" s="408"/>
      <c r="R90" s="408"/>
      <c r="S90" s="408"/>
      <c r="T90" s="408"/>
      <c r="U90" s="408"/>
      <c r="V90" s="408"/>
      <c r="W90" s="408"/>
      <c r="X90" s="408"/>
      <c r="Y90" s="408"/>
      <c r="Z90" s="408"/>
      <c r="AA90" s="408"/>
      <c r="AB90" s="408"/>
      <c r="AC90" s="408"/>
    </row>
    <row r="91" spans="1:29" ht="15.75" customHeight="1" x14ac:dyDescent="0.35">
      <c r="A91" s="472"/>
      <c r="B91" s="472"/>
      <c r="C91" s="472"/>
      <c r="D91" s="1476"/>
      <c r="E91" s="1442"/>
      <c r="F91" s="1466"/>
      <c r="G91" s="472"/>
      <c r="H91" s="1449"/>
      <c r="I91" s="410"/>
      <c r="J91" s="410"/>
      <c r="K91" s="410"/>
      <c r="L91" s="408"/>
      <c r="M91" s="410"/>
      <c r="N91" s="410"/>
      <c r="O91" s="408"/>
      <c r="P91" s="408"/>
      <c r="Q91" s="408"/>
      <c r="R91" s="408"/>
      <c r="S91" s="408"/>
      <c r="T91" s="408"/>
      <c r="U91" s="408"/>
      <c r="V91" s="408"/>
      <c r="W91" s="408"/>
      <c r="X91" s="408"/>
      <c r="Y91" s="408"/>
      <c r="Z91" s="408"/>
      <c r="AA91" s="408"/>
      <c r="AB91" s="408"/>
      <c r="AC91" s="408"/>
    </row>
    <row r="92" spans="1:29" ht="15.75" customHeight="1" x14ac:dyDescent="0.35">
      <c r="A92" s="472"/>
      <c r="B92" s="472"/>
      <c r="C92" s="472"/>
      <c r="D92" s="1476"/>
      <c r="E92" s="1442"/>
      <c r="F92" s="1466"/>
      <c r="G92" s="472"/>
      <c r="H92" s="1449"/>
      <c r="I92" s="410"/>
      <c r="J92" s="410"/>
      <c r="K92" s="410"/>
      <c r="L92" s="408"/>
      <c r="M92" s="410"/>
      <c r="N92" s="410"/>
      <c r="O92" s="408"/>
      <c r="P92" s="408"/>
      <c r="Q92" s="408"/>
      <c r="R92" s="408"/>
      <c r="S92" s="408"/>
      <c r="T92" s="408"/>
      <c r="U92" s="408"/>
      <c r="V92" s="408"/>
      <c r="W92" s="408"/>
      <c r="X92" s="408"/>
      <c r="Y92" s="408"/>
      <c r="Z92" s="408"/>
      <c r="AA92" s="408"/>
      <c r="AB92" s="408"/>
      <c r="AC92" s="408"/>
    </row>
    <row r="93" spans="1:29" ht="15.75" customHeight="1" x14ac:dyDescent="0.35">
      <c r="A93" s="472"/>
      <c r="B93" s="472"/>
      <c r="C93" s="472"/>
      <c r="D93" s="1476"/>
      <c r="E93" s="1442"/>
      <c r="F93" s="1466"/>
      <c r="G93" s="472"/>
      <c r="H93" s="1449"/>
      <c r="I93" s="410"/>
      <c r="J93" s="410"/>
      <c r="K93" s="410"/>
      <c r="L93" s="408"/>
      <c r="M93" s="410"/>
      <c r="N93" s="410"/>
      <c r="O93" s="408"/>
      <c r="P93" s="408"/>
      <c r="Q93" s="408"/>
      <c r="R93" s="408"/>
      <c r="S93" s="408"/>
      <c r="T93" s="408"/>
      <c r="U93" s="408"/>
      <c r="V93" s="408"/>
      <c r="W93" s="408"/>
      <c r="X93" s="408"/>
      <c r="Y93" s="408"/>
      <c r="Z93" s="408"/>
      <c r="AA93" s="408"/>
      <c r="AB93" s="408"/>
      <c r="AC93" s="408"/>
    </row>
    <row r="94" spans="1:29" ht="15.75" customHeight="1" x14ac:dyDescent="0.35">
      <c r="A94" s="472"/>
      <c r="B94" s="472"/>
      <c r="C94" s="472"/>
      <c r="D94" s="1476"/>
      <c r="E94" s="1442"/>
      <c r="F94" s="1466"/>
      <c r="G94" s="472"/>
      <c r="H94" s="1449"/>
      <c r="I94" s="410"/>
      <c r="J94" s="410"/>
      <c r="K94" s="410"/>
      <c r="L94" s="408"/>
      <c r="M94" s="410"/>
      <c r="N94" s="410"/>
      <c r="O94" s="408"/>
      <c r="P94" s="408"/>
      <c r="Q94" s="408"/>
      <c r="R94" s="408"/>
      <c r="S94" s="408"/>
      <c r="T94" s="408"/>
      <c r="U94" s="408"/>
      <c r="V94" s="408"/>
      <c r="W94" s="408"/>
      <c r="X94" s="408"/>
      <c r="Y94" s="408"/>
      <c r="Z94" s="408"/>
      <c r="AA94" s="408"/>
      <c r="AB94" s="408"/>
      <c r="AC94" s="408"/>
    </row>
    <row r="95" spans="1:29" ht="15.75" customHeight="1" x14ac:dyDescent="0.35">
      <c r="A95" s="472"/>
      <c r="B95" s="472"/>
      <c r="C95" s="472"/>
      <c r="D95" s="1476"/>
      <c r="E95" s="1442"/>
      <c r="F95" s="1466"/>
      <c r="G95" s="472"/>
      <c r="H95" s="1449"/>
      <c r="I95" s="410"/>
      <c r="J95" s="410"/>
      <c r="K95" s="410"/>
      <c r="L95" s="408"/>
      <c r="M95" s="410"/>
      <c r="N95" s="410"/>
      <c r="O95" s="408"/>
      <c r="P95" s="408"/>
      <c r="Q95" s="408"/>
      <c r="R95" s="408"/>
      <c r="S95" s="408"/>
      <c r="T95" s="408"/>
      <c r="U95" s="408"/>
      <c r="V95" s="408"/>
      <c r="W95" s="408"/>
      <c r="X95" s="408"/>
      <c r="Y95" s="408"/>
      <c r="Z95" s="408"/>
      <c r="AA95" s="408"/>
      <c r="AB95" s="408"/>
      <c r="AC95" s="408"/>
    </row>
    <row r="96" spans="1:29" ht="15.75" customHeight="1" x14ac:dyDescent="0.35">
      <c r="A96" s="472"/>
      <c r="B96" s="472"/>
      <c r="C96" s="472"/>
      <c r="D96" s="1476"/>
      <c r="E96" s="1442"/>
      <c r="F96" s="1466"/>
      <c r="G96" s="472"/>
      <c r="H96" s="1449"/>
      <c r="I96" s="410"/>
      <c r="J96" s="410"/>
      <c r="K96" s="410"/>
      <c r="L96" s="408"/>
      <c r="M96" s="410"/>
      <c r="N96" s="410"/>
      <c r="O96" s="408"/>
      <c r="P96" s="408"/>
      <c r="Q96" s="408"/>
      <c r="R96" s="408"/>
      <c r="S96" s="408"/>
      <c r="T96" s="408"/>
      <c r="U96" s="408"/>
      <c r="V96" s="408"/>
      <c r="W96" s="408"/>
      <c r="X96" s="408"/>
      <c r="Y96" s="408"/>
      <c r="Z96" s="408"/>
      <c r="AA96" s="408"/>
      <c r="AB96" s="408"/>
      <c r="AC96" s="408"/>
    </row>
    <row r="97" spans="1:29" ht="15.75" customHeight="1" x14ac:dyDescent="0.35">
      <c r="A97" s="472"/>
      <c r="B97" s="472"/>
      <c r="C97" s="472"/>
      <c r="D97" s="1476"/>
      <c r="E97" s="1442"/>
      <c r="F97" s="1466"/>
      <c r="G97" s="472"/>
      <c r="H97" s="1449"/>
      <c r="I97" s="410"/>
      <c r="J97" s="410"/>
      <c r="K97" s="410"/>
      <c r="L97" s="408"/>
      <c r="M97" s="410"/>
      <c r="N97" s="410"/>
      <c r="O97" s="408"/>
      <c r="P97" s="408"/>
      <c r="Q97" s="408"/>
      <c r="R97" s="408"/>
      <c r="S97" s="408"/>
      <c r="T97" s="408"/>
      <c r="U97" s="408"/>
      <c r="V97" s="408"/>
      <c r="W97" s="408"/>
      <c r="X97" s="408"/>
      <c r="Y97" s="408"/>
      <c r="Z97" s="408"/>
      <c r="AA97" s="408"/>
      <c r="AB97" s="408"/>
      <c r="AC97" s="408"/>
    </row>
    <row r="98" spans="1:29" ht="15.75" customHeight="1" x14ac:dyDescent="0.35">
      <c r="A98" s="472"/>
      <c r="B98" s="472"/>
      <c r="C98" s="472"/>
      <c r="D98" s="1476"/>
      <c r="E98" s="1442"/>
      <c r="F98" s="1466"/>
      <c r="G98" s="472"/>
      <c r="H98" s="1449"/>
      <c r="I98" s="410"/>
      <c r="J98" s="410"/>
      <c r="K98" s="410"/>
      <c r="L98" s="408"/>
      <c r="M98" s="410"/>
      <c r="N98" s="410"/>
      <c r="O98" s="408"/>
      <c r="P98" s="408"/>
      <c r="Q98" s="408"/>
      <c r="R98" s="408"/>
      <c r="S98" s="408"/>
      <c r="T98" s="408"/>
      <c r="U98" s="408"/>
      <c r="V98" s="408"/>
      <c r="W98" s="408"/>
      <c r="X98" s="408"/>
      <c r="Y98" s="408"/>
      <c r="Z98" s="408"/>
      <c r="AA98" s="408"/>
      <c r="AB98" s="408"/>
      <c r="AC98" s="408"/>
    </row>
    <row r="99" spans="1:29" ht="15.75" customHeight="1" x14ac:dyDescent="0.35">
      <c r="A99" s="472"/>
      <c r="B99" s="472"/>
      <c r="C99" s="472"/>
      <c r="D99" s="1476"/>
      <c r="E99" s="1442"/>
      <c r="F99" s="1466"/>
      <c r="G99" s="472"/>
      <c r="H99" s="1449"/>
      <c r="I99" s="410"/>
      <c r="J99" s="410"/>
      <c r="K99" s="410"/>
      <c r="L99" s="408"/>
      <c r="M99" s="410"/>
      <c r="N99" s="410"/>
      <c r="O99" s="408"/>
      <c r="P99" s="408"/>
      <c r="Q99" s="408"/>
      <c r="R99" s="408"/>
      <c r="S99" s="408"/>
      <c r="T99" s="408"/>
      <c r="U99" s="408"/>
      <c r="V99" s="408"/>
      <c r="W99" s="408"/>
      <c r="X99" s="408"/>
      <c r="Y99" s="408"/>
      <c r="Z99" s="408"/>
      <c r="AA99" s="408"/>
      <c r="AB99" s="408"/>
      <c r="AC99" s="408"/>
    </row>
    <row r="100" spans="1:29" ht="15.75" customHeight="1" x14ac:dyDescent="0.35">
      <c r="A100" s="472"/>
      <c r="B100" s="472"/>
      <c r="C100" s="472"/>
      <c r="D100" s="1476"/>
      <c r="E100" s="1442"/>
      <c r="F100" s="1466"/>
      <c r="G100" s="472"/>
      <c r="H100" s="1449"/>
      <c r="I100" s="410"/>
      <c r="J100" s="410"/>
      <c r="K100" s="410"/>
      <c r="L100" s="408"/>
      <c r="M100" s="410"/>
      <c r="N100" s="410"/>
      <c r="O100" s="408"/>
      <c r="P100" s="408"/>
      <c r="Q100" s="408"/>
      <c r="R100" s="408"/>
      <c r="S100" s="408"/>
      <c r="T100" s="408"/>
      <c r="U100" s="408"/>
      <c r="V100" s="408"/>
      <c r="W100" s="408"/>
      <c r="X100" s="408"/>
      <c r="Y100" s="408"/>
      <c r="Z100" s="408"/>
      <c r="AA100" s="408"/>
      <c r="AB100" s="408"/>
      <c r="AC100" s="408"/>
    </row>
    <row r="101" spans="1:29" ht="15.75" customHeight="1" x14ac:dyDescent="0.35">
      <c r="A101" s="472"/>
      <c r="B101" s="472"/>
      <c r="C101" s="472"/>
      <c r="D101" s="1476"/>
      <c r="E101" s="1442"/>
      <c r="F101" s="1466"/>
      <c r="G101" s="472"/>
      <c r="H101" s="1449"/>
      <c r="I101" s="410"/>
      <c r="J101" s="410"/>
      <c r="K101" s="410"/>
      <c r="L101" s="408"/>
      <c r="M101" s="410"/>
      <c r="N101" s="410"/>
      <c r="O101" s="408"/>
      <c r="P101" s="408"/>
      <c r="Q101" s="408"/>
      <c r="R101" s="408"/>
      <c r="S101" s="408"/>
      <c r="T101" s="408"/>
      <c r="U101" s="408"/>
      <c r="V101" s="408"/>
      <c r="W101" s="408"/>
      <c r="X101" s="408"/>
      <c r="Y101" s="408"/>
      <c r="Z101" s="408"/>
      <c r="AA101" s="408"/>
      <c r="AB101" s="408"/>
      <c r="AC101" s="408"/>
    </row>
    <row r="102" spans="1:29" ht="15.75" customHeight="1" x14ac:dyDescent="0.35">
      <c r="A102" s="472"/>
      <c r="B102" s="472"/>
      <c r="C102" s="472"/>
      <c r="D102" s="1476"/>
      <c r="E102" s="1442"/>
      <c r="F102" s="1466"/>
      <c r="G102" s="472"/>
      <c r="H102" s="1449"/>
      <c r="I102" s="410"/>
      <c r="J102" s="410"/>
      <c r="K102" s="410"/>
      <c r="L102" s="408"/>
      <c r="M102" s="410"/>
      <c r="N102" s="410"/>
      <c r="O102" s="408"/>
      <c r="P102" s="408"/>
      <c r="Q102" s="408"/>
      <c r="R102" s="408"/>
      <c r="S102" s="408"/>
      <c r="T102" s="408"/>
      <c r="U102" s="408"/>
      <c r="V102" s="408"/>
      <c r="W102" s="408"/>
      <c r="X102" s="408"/>
      <c r="Y102" s="408"/>
      <c r="Z102" s="408"/>
      <c r="AA102" s="408"/>
      <c r="AB102" s="408"/>
      <c r="AC102" s="408"/>
    </row>
    <row r="103" spans="1:29" ht="15.75" customHeight="1" x14ac:dyDescent="0.35">
      <c r="A103" s="472"/>
      <c r="B103" s="472"/>
      <c r="C103" s="472"/>
      <c r="D103" s="1476"/>
      <c r="E103" s="1442"/>
      <c r="F103" s="1466"/>
      <c r="G103" s="472"/>
      <c r="H103" s="1449"/>
      <c r="I103" s="410"/>
      <c r="J103" s="410"/>
      <c r="K103" s="410"/>
      <c r="L103" s="408"/>
      <c r="M103" s="410"/>
      <c r="N103" s="410"/>
      <c r="O103" s="408"/>
      <c r="P103" s="408"/>
      <c r="Q103" s="408"/>
      <c r="R103" s="408"/>
      <c r="S103" s="408"/>
      <c r="T103" s="408"/>
      <c r="U103" s="408"/>
      <c r="V103" s="408"/>
      <c r="W103" s="408"/>
      <c r="X103" s="408"/>
      <c r="Y103" s="408"/>
      <c r="Z103" s="408"/>
      <c r="AA103" s="408"/>
      <c r="AB103" s="408"/>
      <c r="AC103" s="408"/>
    </row>
    <row r="104" spans="1:29" ht="15.75" customHeight="1" x14ac:dyDescent="0.35">
      <c r="A104" s="472"/>
      <c r="B104" s="472"/>
      <c r="C104" s="472"/>
      <c r="D104" s="1476"/>
      <c r="E104" s="1442"/>
      <c r="F104" s="1466"/>
      <c r="G104" s="472"/>
      <c r="H104" s="1449"/>
      <c r="I104" s="410"/>
      <c r="J104" s="410"/>
      <c r="K104" s="410"/>
      <c r="L104" s="408"/>
      <c r="M104" s="410"/>
      <c r="N104" s="410"/>
      <c r="O104" s="408"/>
      <c r="P104" s="408"/>
      <c r="Q104" s="408"/>
      <c r="R104" s="408"/>
      <c r="S104" s="408"/>
      <c r="T104" s="408"/>
      <c r="U104" s="408"/>
      <c r="V104" s="408"/>
      <c r="W104" s="408"/>
      <c r="X104" s="408"/>
      <c r="Y104" s="408"/>
      <c r="Z104" s="408"/>
      <c r="AA104" s="408"/>
      <c r="AB104" s="408"/>
      <c r="AC104" s="408"/>
    </row>
    <row r="105" spans="1:29" ht="15.75" customHeight="1" x14ac:dyDescent="0.35">
      <c r="A105" s="472"/>
      <c r="B105" s="472"/>
      <c r="C105" s="472"/>
      <c r="D105" s="1476"/>
      <c r="E105" s="1442"/>
      <c r="F105" s="1466"/>
      <c r="G105" s="472"/>
      <c r="H105" s="1449"/>
      <c r="I105" s="410"/>
      <c r="J105" s="410"/>
      <c r="K105" s="410"/>
      <c r="L105" s="408"/>
      <c r="M105" s="410"/>
      <c r="N105" s="410"/>
      <c r="O105" s="408"/>
      <c r="P105" s="408"/>
      <c r="Q105" s="408"/>
      <c r="R105" s="408"/>
      <c r="S105" s="408"/>
      <c r="T105" s="408"/>
      <c r="U105" s="408"/>
      <c r="V105" s="408"/>
      <c r="W105" s="408"/>
      <c r="X105" s="408"/>
      <c r="Y105" s="408"/>
      <c r="Z105" s="408"/>
      <c r="AA105" s="408"/>
      <c r="AB105" s="408"/>
      <c r="AC105" s="408"/>
    </row>
    <row r="106" spans="1:29" ht="15.75" customHeight="1" x14ac:dyDescent="0.35">
      <c r="A106" s="472"/>
      <c r="B106" s="472"/>
      <c r="C106" s="472"/>
      <c r="D106" s="1476"/>
      <c r="E106" s="1442"/>
      <c r="F106" s="1466"/>
      <c r="G106" s="472"/>
      <c r="H106" s="1449"/>
      <c r="I106" s="410"/>
      <c r="J106" s="410"/>
      <c r="K106" s="410"/>
      <c r="L106" s="408"/>
      <c r="M106" s="410"/>
      <c r="N106" s="410"/>
      <c r="O106" s="408"/>
      <c r="P106" s="408"/>
      <c r="Q106" s="408"/>
      <c r="R106" s="408"/>
      <c r="S106" s="408"/>
      <c r="T106" s="408"/>
      <c r="U106" s="408"/>
      <c r="V106" s="408"/>
      <c r="W106" s="408"/>
      <c r="X106" s="408"/>
      <c r="Y106" s="408"/>
      <c r="Z106" s="408"/>
      <c r="AA106" s="408"/>
      <c r="AB106" s="408"/>
      <c r="AC106" s="408"/>
    </row>
    <row r="107" spans="1:29" ht="15.75" customHeight="1" x14ac:dyDescent="0.35">
      <c r="A107" s="472"/>
      <c r="B107" s="472"/>
      <c r="C107" s="472"/>
      <c r="D107" s="1476"/>
      <c r="E107" s="1442"/>
      <c r="F107" s="1466"/>
      <c r="G107" s="472"/>
      <c r="H107" s="1449"/>
      <c r="I107" s="410"/>
      <c r="J107" s="410"/>
      <c r="K107" s="410"/>
      <c r="L107" s="408"/>
      <c r="M107" s="410"/>
      <c r="N107" s="410"/>
      <c r="O107" s="408"/>
      <c r="P107" s="408"/>
      <c r="Q107" s="408"/>
      <c r="R107" s="408"/>
      <c r="S107" s="408"/>
      <c r="T107" s="408"/>
      <c r="U107" s="408"/>
      <c r="V107" s="408"/>
      <c r="W107" s="408"/>
      <c r="X107" s="408"/>
      <c r="Y107" s="408"/>
      <c r="Z107" s="408"/>
      <c r="AA107" s="408"/>
      <c r="AB107" s="408"/>
      <c r="AC107" s="408"/>
    </row>
    <row r="108" spans="1:29" ht="15.75" customHeight="1" x14ac:dyDescent="0.35">
      <c r="A108" s="472"/>
      <c r="B108" s="472"/>
      <c r="C108" s="472"/>
      <c r="D108" s="1476"/>
      <c r="E108" s="1442"/>
      <c r="F108" s="1466"/>
      <c r="G108" s="472"/>
      <c r="H108" s="1449"/>
      <c r="I108" s="410"/>
      <c r="J108" s="410"/>
      <c r="K108" s="410"/>
      <c r="L108" s="408"/>
      <c r="M108" s="410"/>
      <c r="N108" s="410"/>
      <c r="O108" s="408"/>
      <c r="P108" s="408"/>
      <c r="Q108" s="408"/>
      <c r="R108" s="408"/>
      <c r="S108" s="408"/>
      <c r="T108" s="408"/>
      <c r="U108" s="408"/>
      <c r="V108" s="408"/>
      <c r="W108" s="408"/>
      <c r="X108" s="408"/>
      <c r="Y108" s="408"/>
      <c r="Z108" s="408"/>
      <c r="AA108" s="408"/>
      <c r="AB108" s="408"/>
      <c r="AC108" s="408"/>
    </row>
    <row r="109" spans="1:29" ht="15.75" customHeight="1" x14ac:dyDescent="0.35">
      <c r="A109" s="472"/>
      <c r="B109" s="472"/>
      <c r="C109" s="472"/>
      <c r="D109" s="1476"/>
      <c r="E109" s="1442"/>
      <c r="F109" s="1466"/>
      <c r="G109" s="472"/>
      <c r="H109" s="1449"/>
      <c r="I109" s="410"/>
      <c r="J109" s="410"/>
      <c r="K109" s="410"/>
      <c r="L109" s="408"/>
      <c r="M109" s="410"/>
      <c r="N109" s="410"/>
      <c r="O109" s="408"/>
      <c r="P109" s="408"/>
      <c r="Q109" s="408"/>
      <c r="R109" s="408"/>
      <c r="S109" s="408"/>
      <c r="T109" s="408"/>
      <c r="U109" s="408"/>
      <c r="V109" s="408"/>
      <c r="W109" s="408"/>
      <c r="X109" s="408"/>
      <c r="Y109" s="408"/>
      <c r="Z109" s="408"/>
      <c r="AA109" s="408"/>
      <c r="AB109" s="408"/>
      <c r="AC109" s="408"/>
    </row>
    <row r="110" spans="1:29" ht="15.75" customHeight="1" x14ac:dyDescent="0.35">
      <c r="A110" s="472"/>
      <c r="B110" s="472"/>
      <c r="C110" s="472"/>
      <c r="D110" s="1476"/>
      <c r="E110" s="1442"/>
      <c r="F110" s="1466"/>
      <c r="G110" s="472"/>
      <c r="H110" s="1449"/>
      <c r="I110" s="410"/>
      <c r="J110" s="410"/>
      <c r="K110" s="410"/>
      <c r="L110" s="408"/>
      <c r="M110" s="410"/>
      <c r="N110" s="410"/>
      <c r="O110" s="408"/>
      <c r="P110" s="408"/>
      <c r="Q110" s="408"/>
      <c r="R110" s="408"/>
      <c r="S110" s="408"/>
      <c r="T110" s="408"/>
      <c r="U110" s="408"/>
      <c r="V110" s="408"/>
      <c r="W110" s="408"/>
      <c r="X110" s="408"/>
      <c r="Y110" s="408"/>
      <c r="Z110" s="408"/>
      <c r="AA110" s="408"/>
      <c r="AB110" s="408"/>
      <c r="AC110" s="408"/>
    </row>
    <row r="111" spans="1:29" ht="15.75" customHeight="1" x14ac:dyDescent="0.35">
      <c r="A111" s="472"/>
      <c r="B111" s="472"/>
      <c r="C111" s="472"/>
      <c r="D111" s="1476"/>
      <c r="E111" s="1442"/>
      <c r="F111" s="1466"/>
      <c r="G111" s="472"/>
      <c r="H111" s="1449"/>
      <c r="I111" s="410"/>
      <c r="J111" s="410"/>
      <c r="K111" s="410"/>
      <c r="L111" s="408"/>
      <c r="M111" s="410"/>
      <c r="N111" s="410"/>
      <c r="O111" s="408"/>
      <c r="P111" s="408"/>
      <c r="Q111" s="408"/>
      <c r="R111" s="408"/>
      <c r="S111" s="408"/>
      <c r="T111" s="408"/>
      <c r="U111" s="408"/>
      <c r="V111" s="408"/>
      <c r="W111" s="408"/>
      <c r="X111" s="408"/>
      <c r="Y111" s="408"/>
      <c r="Z111" s="408"/>
      <c r="AA111" s="408"/>
      <c r="AB111" s="408"/>
      <c r="AC111" s="408"/>
    </row>
    <row r="112" spans="1:29" ht="15.75" customHeight="1" x14ac:dyDescent="0.35">
      <c r="A112" s="472"/>
      <c r="B112" s="472"/>
      <c r="C112" s="472"/>
      <c r="D112" s="1476"/>
      <c r="E112" s="1442"/>
      <c r="F112" s="1466"/>
      <c r="G112" s="472"/>
      <c r="H112" s="1449"/>
      <c r="I112" s="410"/>
      <c r="J112" s="410"/>
      <c r="K112" s="410"/>
      <c r="L112" s="408"/>
      <c r="M112" s="410"/>
      <c r="N112" s="410"/>
      <c r="O112" s="408"/>
      <c r="P112" s="408"/>
      <c r="Q112" s="408"/>
      <c r="R112" s="408"/>
      <c r="S112" s="408"/>
      <c r="T112" s="408"/>
      <c r="U112" s="408"/>
      <c r="V112" s="408"/>
      <c r="W112" s="408"/>
      <c r="X112" s="408"/>
      <c r="Y112" s="408"/>
      <c r="Z112" s="408"/>
      <c r="AA112" s="408"/>
      <c r="AB112" s="408"/>
      <c r="AC112" s="408"/>
    </row>
    <row r="113" spans="1:29" ht="15.75" customHeight="1" x14ac:dyDescent="0.35">
      <c r="A113" s="472"/>
      <c r="B113" s="472"/>
      <c r="C113" s="472"/>
      <c r="D113" s="1476"/>
      <c r="E113" s="1442"/>
      <c r="F113" s="1466"/>
      <c r="G113" s="472"/>
      <c r="H113" s="1449"/>
      <c r="I113" s="410"/>
      <c r="J113" s="410"/>
      <c r="K113" s="410"/>
      <c r="L113" s="408"/>
      <c r="M113" s="410"/>
      <c r="N113" s="410"/>
      <c r="O113" s="408"/>
      <c r="P113" s="408"/>
      <c r="Q113" s="408"/>
      <c r="R113" s="408"/>
      <c r="S113" s="408"/>
      <c r="T113" s="408"/>
      <c r="U113" s="408"/>
      <c r="V113" s="408"/>
      <c r="W113" s="408"/>
      <c r="X113" s="408"/>
      <c r="Y113" s="408"/>
      <c r="Z113" s="408"/>
      <c r="AA113" s="408"/>
      <c r="AB113" s="408"/>
      <c r="AC113" s="408"/>
    </row>
    <row r="114" spans="1:29" ht="15.75" customHeight="1" x14ac:dyDescent="0.35">
      <c r="A114" s="472"/>
      <c r="B114" s="472"/>
      <c r="C114" s="472"/>
      <c r="D114" s="1476"/>
      <c r="E114" s="1442"/>
      <c r="F114" s="1466"/>
      <c r="G114" s="472"/>
      <c r="H114" s="1449"/>
      <c r="I114" s="410"/>
      <c r="J114" s="410"/>
      <c r="K114" s="410"/>
      <c r="L114" s="408"/>
      <c r="M114" s="410"/>
      <c r="N114" s="410"/>
      <c r="O114" s="408"/>
      <c r="P114" s="408"/>
      <c r="Q114" s="408"/>
      <c r="R114" s="408"/>
      <c r="S114" s="408"/>
      <c r="T114" s="408"/>
      <c r="U114" s="408"/>
      <c r="V114" s="408"/>
      <c r="W114" s="408"/>
      <c r="X114" s="408"/>
      <c r="Y114" s="408"/>
      <c r="Z114" s="408"/>
      <c r="AA114" s="408"/>
      <c r="AB114" s="408"/>
      <c r="AC114" s="408"/>
    </row>
    <row r="115" spans="1:29" ht="15.75" customHeight="1" x14ac:dyDescent="0.35">
      <c r="A115" s="472"/>
      <c r="B115" s="472"/>
      <c r="C115" s="472"/>
      <c r="D115" s="1476"/>
      <c r="E115" s="1442"/>
      <c r="F115" s="1466"/>
      <c r="G115" s="472"/>
      <c r="H115" s="1449"/>
      <c r="I115" s="410"/>
      <c r="J115" s="410"/>
      <c r="K115" s="410"/>
      <c r="L115" s="408"/>
      <c r="M115" s="410"/>
      <c r="N115" s="410"/>
      <c r="O115" s="408"/>
      <c r="P115" s="408"/>
      <c r="Q115" s="408"/>
      <c r="R115" s="408"/>
      <c r="S115" s="408"/>
      <c r="T115" s="408"/>
      <c r="U115" s="408"/>
      <c r="V115" s="408"/>
      <c r="W115" s="408"/>
      <c r="X115" s="408"/>
      <c r="Y115" s="408"/>
      <c r="Z115" s="408"/>
      <c r="AA115" s="408"/>
      <c r="AB115" s="408"/>
      <c r="AC115" s="408"/>
    </row>
    <row r="116" spans="1:29" ht="15.75" customHeight="1" x14ac:dyDescent="0.35">
      <c r="A116" s="472"/>
      <c r="B116" s="472"/>
      <c r="C116" s="472"/>
      <c r="D116" s="1476"/>
      <c r="E116" s="1442"/>
      <c r="F116" s="1466"/>
      <c r="G116" s="472"/>
      <c r="H116" s="1449"/>
      <c r="I116" s="410"/>
      <c r="J116" s="410"/>
      <c r="K116" s="410"/>
      <c r="L116" s="408"/>
      <c r="M116" s="410"/>
      <c r="N116" s="410"/>
      <c r="O116" s="408"/>
      <c r="P116" s="408"/>
      <c r="Q116" s="408"/>
      <c r="R116" s="408"/>
      <c r="S116" s="408"/>
      <c r="T116" s="408"/>
      <c r="U116" s="408"/>
      <c r="V116" s="408"/>
      <c r="W116" s="408"/>
      <c r="X116" s="408"/>
      <c r="Y116" s="408"/>
      <c r="Z116" s="408"/>
      <c r="AA116" s="408"/>
      <c r="AB116" s="408"/>
      <c r="AC116" s="408"/>
    </row>
    <row r="117" spans="1:29" ht="15.75" customHeight="1" x14ac:dyDescent="0.35">
      <c r="A117" s="472"/>
      <c r="B117" s="472"/>
      <c r="C117" s="472"/>
      <c r="D117" s="1476"/>
      <c r="E117" s="1442"/>
      <c r="F117" s="1466"/>
      <c r="G117" s="472"/>
      <c r="H117" s="1449"/>
      <c r="I117" s="410"/>
      <c r="J117" s="410"/>
      <c r="K117" s="410"/>
      <c r="L117" s="408"/>
      <c r="M117" s="410"/>
      <c r="N117" s="410"/>
      <c r="O117" s="408"/>
      <c r="P117" s="408"/>
      <c r="Q117" s="408"/>
      <c r="R117" s="408"/>
      <c r="S117" s="408"/>
      <c r="T117" s="408"/>
      <c r="U117" s="408"/>
      <c r="V117" s="408"/>
      <c r="W117" s="408"/>
      <c r="X117" s="408"/>
      <c r="Y117" s="408"/>
      <c r="Z117" s="408"/>
      <c r="AA117" s="408"/>
      <c r="AB117" s="408"/>
      <c r="AC117" s="408"/>
    </row>
    <row r="118" spans="1:29" ht="15.75" customHeight="1" x14ac:dyDescent="0.35">
      <c r="A118" s="472"/>
      <c r="B118" s="472"/>
      <c r="C118" s="472"/>
      <c r="D118" s="1476"/>
      <c r="E118" s="1442"/>
      <c r="F118" s="1466"/>
      <c r="G118" s="472"/>
      <c r="H118" s="1449"/>
      <c r="I118" s="410"/>
      <c r="J118" s="410"/>
      <c r="K118" s="410"/>
      <c r="L118" s="408"/>
      <c r="M118" s="410"/>
      <c r="N118" s="410"/>
      <c r="O118" s="408"/>
      <c r="P118" s="408"/>
      <c r="Q118" s="408"/>
      <c r="R118" s="408"/>
      <c r="S118" s="408"/>
      <c r="T118" s="408"/>
      <c r="U118" s="408"/>
      <c r="V118" s="408"/>
      <c r="W118" s="408"/>
      <c r="X118" s="408"/>
      <c r="Y118" s="408"/>
      <c r="Z118" s="408"/>
      <c r="AA118" s="408"/>
      <c r="AB118" s="408"/>
      <c r="AC118" s="408"/>
    </row>
    <row r="119" spans="1:29" ht="15.75" customHeight="1" x14ac:dyDescent="0.35">
      <c r="A119" s="472"/>
      <c r="B119" s="472"/>
      <c r="C119" s="472"/>
      <c r="D119" s="1476"/>
      <c r="E119" s="1442"/>
      <c r="F119" s="1466"/>
      <c r="G119" s="472"/>
      <c r="H119" s="1449"/>
      <c r="I119" s="410"/>
      <c r="J119" s="410"/>
      <c r="K119" s="410"/>
      <c r="L119" s="408"/>
      <c r="M119" s="410"/>
      <c r="N119" s="410"/>
      <c r="O119" s="408"/>
      <c r="P119" s="408"/>
      <c r="Q119" s="408"/>
      <c r="R119" s="408"/>
      <c r="S119" s="408"/>
      <c r="T119" s="408"/>
      <c r="U119" s="408"/>
      <c r="V119" s="408"/>
      <c r="W119" s="408"/>
      <c r="X119" s="408"/>
      <c r="Y119" s="408"/>
      <c r="Z119" s="408"/>
      <c r="AA119" s="408"/>
      <c r="AB119" s="408"/>
      <c r="AC119" s="408"/>
    </row>
    <row r="120" spans="1:29" ht="15.75" customHeight="1" x14ac:dyDescent="0.35">
      <c r="A120" s="472"/>
      <c r="B120" s="472"/>
      <c r="C120" s="472"/>
      <c r="D120" s="1476"/>
      <c r="E120" s="1442"/>
      <c r="F120" s="1466"/>
      <c r="G120" s="472"/>
      <c r="H120" s="1449"/>
      <c r="I120" s="410"/>
      <c r="J120" s="410"/>
      <c r="K120" s="410"/>
      <c r="L120" s="408"/>
      <c r="M120" s="410"/>
      <c r="N120" s="410"/>
      <c r="O120" s="408"/>
      <c r="P120" s="408"/>
      <c r="Q120" s="408"/>
      <c r="R120" s="408"/>
      <c r="S120" s="408"/>
      <c r="T120" s="408"/>
      <c r="U120" s="408"/>
      <c r="V120" s="408"/>
      <c r="W120" s="408"/>
      <c r="X120" s="408"/>
      <c r="Y120" s="408"/>
      <c r="Z120" s="408"/>
      <c r="AA120" s="408"/>
      <c r="AB120" s="408"/>
      <c r="AC120" s="408"/>
    </row>
    <row r="121" spans="1:29" ht="15.75" customHeight="1" x14ac:dyDescent="0.35">
      <c r="A121" s="472"/>
      <c r="B121" s="472"/>
      <c r="C121" s="472"/>
      <c r="D121" s="1476"/>
      <c r="E121" s="1442"/>
      <c r="F121" s="1466"/>
      <c r="G121" s="472"/>
      <c r="H121" s="1449"/>
      <c r="I121" s="410"/>
      <c r="J121" s="410"/>
      <c r="K121" s="410"/>
      <c r="L121" s="408"/>
      <c r="M121" s="410"/>
      <c r="N121" s="410"/>
      <c r="O121" s="408"/>
      <c r="P121" s="408"/>
      <c r="Q121" s="408"/>
      <c r="R121" s="408"/>
      <c r="S121" s="408"/>
      <c r="T121" s="408"/>
      <c r="U121" s="408"/>
      <c r="V121" s="408"/>
      <c r="W121" s="408"/>
      <c r="X121" s="408"/>
      <c r="Y121" s="408"/>
      <c r="Z121" s="408"/>
      <c r="AA121" s="408"/>
      <c r="AB121" s="408"/>
      <c r="AC121" s="408"/>
    </row>
    <row r="122" spans="1:29" ht="15.75" customHeight="1" x14ac:dyDescent="0.35">
      <c r="A122" s="472"/>
      <c r="B122" s="472"/>
      <c r="C122" s="472"/>
      <c r="D122" s="1476"/>
      <c r="E122" s="1442"/>
      <c r="F122" s="1466"/>
      <c r="G122" s="472"/>
      <c r="H122" s="1449"/>
      <c r="I122" s="410"/>
      <c r="J122" s="410"/>
      <c r="K122" s="410"/>
      <c r="L122" s="408"/>
      <c r="M122" s="410"/>
      <c r="N122" s="410"/>
      <c r="O122" s="408"/>
      <c r="P122" s="408"/>
      <c r="Q122" s="408"/>
      <c r="R122" s="408"/>
      <c r="S122" s="408"/>
      <c r="T122" s="408"/>
      <c r="U122" s="408"/>
      <c r="V122" s="408"/>
      <c r="W122" s="408"/>
      <c r="X122" s="408"/>
      <c r="Y122" s="408"/>
      <c r="Z122" s="408"/>
      <c r="AA122" s="408"/>
      <c r="AB122" s="408"/>
      <c r="AC122" s="408"/>
    </row>
    <row r="123" spans="1:29" ht="15.75" customHeight="1" x14ac:dyDescent="0.35">
      <c r="A123" s="472"/>
      <c r="B123" s="472"/>
      <c r="C123" s="472"/>
      <c r="D123" s="1476"/>
      <c r="E123" s="1442"/>
      <c r="F123" s="1466"/>
      <c r="G123" s="472"/>
      <c r="H123" s="1449"/>
      <c r="I123" s="410"/>
      <c r="J123" s="410"/>
      <c r="K123" s="410"/>
      <c r="L123" s="408"/>
      <c r="M123" s="410"/>
      <c r="N123" s="410"/>
      <c r="O123" s="408"/>
      <c r="P123" s="408"/>
      <c r="Q123" s="408"/>
      <c r="R123" s="408"/>
      <c r="S123" s="408"/>
      <c r="T123" s="408"/>
      <c r="U123" s="408"/>
      <c r="V123" s="408"/>
      <c r="W123" s="408"/>
      <c r="X123" s="408"/>
      <c r="Y123" s="408"/>
      <c r="Z123" s="408"/>
      <c r="AA123" s="408"/>
      <c r="AB123" s="408"/>
      <c r="AC123" s="408"/>
    </row>
    <row r="124" spans="1:29" ht="15.75" customHeight="1" x14ac:dyDescent="0.35">
      <c r="A124" s="472"/>
      <c r="B124" s="472"/>
      <c r="C124" s="472"/>
      <c r="D124" s="1476"/>
      <c r="E124" s="1442"/>
      <c r="F124" s="1466"/>
      <c r="G124" s="472"/>
      <c r="H124" s="1449"/>
      <c r="I124" s="410"/>
      <c r="J124" s="410"/>
      <c r="K124" s="410"/>
      <c r="L124" s="408"/>
      <c r="M124" s="410"/>
      <c r="N124" s="410"/>
      <c r="O124" s="408"/>
      <c r="P124" s="408"/>
      <c r="Q124" s="408"/>
      <c r="R124" s="408"/>
      <c r="S124" s="408"/>
      <c r="T124" s="408"/>
      <c r="U124" s="408"/>
      <c r="V124" s="408"/>
      <c r="W124" s="408"/>
      <c r="X124" s="408"/>
      <c r="Y124" s="408"/>
      <c r="Z124" s="408"/>
      <c r="AA124" s="408"/>
      <c r="AB124" s="408"/>
      <c r="AC124" s="408"/>
    </row>
    <row r="125" spans="1:29" ht="15.75" customHeight="1" x14ac:dyDescent="0.35">
      <c r="A125" s="472"/>
      <c r="B125" s="472"/>
      <c r="C125" s="472"/>
      <c r="D125" s="1476"/>
      <c r="E125" s="1442"/>
      <c r="F125" s="1466"/>
      <c r="G125" s="472"/>
      <c r="H125" s="1449"/>
      <c r="I125" s="410"/>
      <c r="J125" s="410"/>
      <c r="K125" s="410"/>
      <c r="L125" s="408"/>
      <c r="M125" s="410"/>
      <c r="N125" s="410"/>
      <c r="O125" s="408"/>
      <c r="P125" s="408"/>
      <c r="Q125" s="408"/>
      <c r="R125" s="408"/>
      <c r="S125" s="408"/>
      <c r="T125" s="408"/>
      <c r="U125" s="408"/>
      <c r="V125" s="408"/>
      <c r="W125" s="408"/>
      <c r="X125" s="408"/>
      <c r="Y125" s="408"/>
      <c r="Z125" s="408"/>
      <c r="AA125" s="408"/>
      <c r="AB125" s="408"/>
      <c r="AC125" s="408"/>
    </row>
    <row r="126" spans="1:29" ht="15.75" customHeight="1" x14ac:dyDescent="0.35">
      <c r="A126" s="472"/>
      <c r="B126" s="472"/>
      <c r="C126" s="472"/>
      <c r="D126" s="1476"/>
      <c r="E126" s="1442"/>
      <c r="F126" s="1466"/>
      <c r="G126" s="472"/>
      <c r="H126" s="1449"/>
      <c r="I126" s="410"/>
      <c r="J126" s="410"/>
      <c r="K126" s="410"/>
      <c r="L126" s="408"/>
      <c r="M126" s="410"/>
      <c r="N126" s="410"/>
      <c r="O126" s="408"/>
      <c r="P126" s="408"/>
      <c r="Q126" s="408"/>
      <c r="R126" s="408"/>
      <c r="S126" s="408"/>
      <c r="T126" s="408"/>
      <c r="U126" s="408"/>
      <c r="V126" s="408"/>
      <c r="W126" s="408"/>
      <c r="X126" s="408"/>
      <c r="Y126" s="408"/>
      <c r="Z126" s="408"/>
      <c r="AA126" s="408"/>
      <c r="AB126" s="408"/>
      <c r="AC126" s="408"/>
    </row>
    <row r="127" spans="1:29" ht="15.75" customHeight="1" x14ac:dyDescent="0.35">
      <c r="A127" s="472"/>
      <c r="B127" s="472"/>
      <c r="C127" s="472"/>
      <c r="D127" s="1476"/>
      <c r="E127" s="1442"/>
      <c r="F127" s="1466"/>
      <c r="G127" s="472"/>
      <c r="H127" s="1449"/>
      <c r="I127" s="410"/>
      <c r="J127" s="410"/>
      <c r="K127" s="410"/>
      <c r="L127" s="408"/>
      <c r="M127" s="410"/>
      <c r="N127" s="410"/>
      <c r="O127" s="408"/>
      <c r="P127" s="408"/>
      <c r="Q127" s="408"/>
      <c r="R127" s="408"/>
      <c r="S127" s="408"/>
      <c r="T127" s="408"/>
      <c r="U127" s="408"/>
      <c r="V127" s="408"/>
      <c r="W127" s="408"/>
      <c r="X127" s="408"/>
      <c r="Y127" s="408"/>
      <c r="Z127" s="408"/>
      <c r="AA127" s="408"/>
      <c r="AB127" s="408"/>
      <c r="AC127" s="408"/>
    </row>
    <row r="128" spans="1:29" ht="15.75" customHeight="1" x14ac:dyDescent="0.35">
      <c r="A128" s="472"/>
      <c r="B128" s="472"/>
      <c r="C128" s="472"/>
      <c r="D128" s="1476"/>
      <c r="E128" s="1442"/>
      <c r="F128" s="1466"/>
      <c r="G128" s="472"/>
      <c r="H128" s="1449"/>
      <c r="I128" s="410"/>
      <c r="J128" s="410"/>
      <c r="K128" s="410"/>
      <c r="L128" s="408"/>
      <c r="M128" s="410"/>
      <c r="N128" s="410"/>
      <c r="O128" s="408"/>
      <c r="P128" s="408"/>
      <c r="Q128" s="408"/>
      <c r="R128" s="408"/>
      <c r="S128" s="408"/>
      <c r="T128" s="408"/>
      <c r="U128" s="408"/>
      <c r="V128" s="408"/>
      <c r="W128" s="408"/>
      <c r="X128" s="408"/>
      <c r="Y128" s="408"/>
      <c r="Z128" s="408"/>
      <c r="AA128" s="408"/>
      <c r="AB128" s="408"/>
      <c r="AC128" s="408"/>
    </row>
    <row r="129" spans="1:29" ht="15.75" customHeight="1" x14ac:dyDescent="0.35">
      <c r="A129" s="472"/>
      <c r="B129" s="472"/>
      <c r="C129" s="472"/>
      <c r="D129" s="1476"/>
      <c r="E129" s="1442"/>
      <c r="F129" s="1466"/>
      <c r="G129" s="472"/>
      <c r="H129" s="1449"/>
      <c r="I129" s="410"/>
      <c r="J129" s="410"/>
      <c r="K129" s="410"/>
      <c r="L129" s="408"/>
      <c r="M129" s="410"/>
      <c r="N129" s="410"/>
      <c r="O129" s="408"/>
      <c r="P129" s="408"/>
      <c r="Q129" s="408"/>
      <c r="R129" s="408"/>
      <c r="S129" s="408"/>
      <c r="T129" s="408"/>
      <c r="U129" s="408"/>
      <c r="V129" s="408"/>
      <c r="W129" s="408"/>
      <c r="X129" s="408"/>
      <c r="Y129" s="408"/>
      <c r="Z129" s="408"/>
      <c r="AA129" s="408"/>
      <c r="AB129" s="408"/>
      <c r="AC129" s="408"/>
    </row>
    <row r="130" spans="1:29" ht="15.75" customHeight="1" x14ac:dyDescent="0.35">
      <c r="A130" s="472"/>
      <c r="B130" s="472"/>
      <c r="C130" s="472"/>
      <c r="D130" s="1476"/>
      <c r="E130" s="1442"/>
      <c r="F130" s="1466"/>
      <c r="G130" s="472"/>
      <c r="H130" s="1449"/>
      <c r="I130" s="410"/>
      <c r="J130" s="410"/>
      <c r="K130" s="410"/>
      <c r="L130" s="408"/>
      <c r="M130" s="410"/>
      <c r="N130" s="410"/>
      <c r="O130" s="408"/>
      <c r="P130" s="408"/>
      <c r="Q130" s="408"/>
      <c r="R130" s="408"/>
      <c r="S130" s="408"/>
      <c r="T130" s="408"/>
      <c r="U130" s="408"/>
      <c r="V130" s="408"/>
      <c r="W130" s="408"/>
      <c r="X130" s="408"/>
      <c r="Y130" s="408"/>
      <c r="Z130" s="408"/>
      <c r="AA130" s="408"/>
      <c r="AB130" s="408"/>
      <c r="AC130" s="408"/>
    </row>
    <row r="131" spans="1:29" ht="15.75" customHeight="1" x14ac:dyDescent="0.35">
      <c r="A131" s="472"/>
      <c r="B131" s="472"/>
      <c r="C131" s="472"/>
      <c r="D131" s="1476"/>
      <c r="E131" s="1442"/>
      <c r="F131" s="1466"/>
      <c r="G131" s="472"/>
      <c r="H131" s="1449"/>
      <c r="I131" s="410"/>
      <c r="J131" s="410"/>
      <c r="K131" s="410"/>
      <c r="L131" s="408"/>
      <c r="M131" s="410"/>
      <c r="N131" s="410"/>
      <c r="O131" s="408"/>
      <c r="P131" s="408"/>
      <c r="Q131" s="408"/>
      <c r="R131" s="408"/>
      <c r="S131" s="408"/>
      <c r="T131" s="408"/>
      <c r="U131" s="408"/>
      <c r="V131" s="408"/>
      <c r="W131" s="408"/>
      <c r="X131" s="408"/>
      <c r="Y131" s="408"/>
      <c r="Z131" s="408"/>
      <c r="AA131" s="408"/>
      <c r="AB131" s="408"/>
      <c r="AC131" s="408"/>
    </row>
    <row r="132" spans="1:29" ht="15.75" customHeight="1" x14ac:dyDescent="0.35">
      <c r="A132" s="472"/>
      <c r="B132" s="472"/>
      <c r="C132" s="472"/>
      <c r="D132" s="1476"/>
      <c r="E132" s="1442"/>
      <c r="F132" s="1466"/>
      <c r="G132" s="472"/>
      <c r="H132" s="1449"/>
      <c r="I132" s="410"/>
      <c r="J132" s="410"/>
      <c r="K132" s="410"/>
      <c r="L132" s="408"/>
      <c r="M132" s="410"/>
      <c r="N132" s="410"/>
      <c r="O132" s="408"/>
      <c r="P132" s="408"/>
      <c r="Q132" s="408"/>
      <c r="R132" s="408"/>
      <c r="S132" s="408"/>
      <c r="T132" s="408"/>
      <c r="U132" s="408"/>
      <c r="V132" s="408"/>
      <c r="W132" s="408"/>
      <c r="X132" s="408"/>
      <c r="Y132" s="408"/>
      <c r="Z132" s="408"/>
      <c r="AA132" s="408"/>
      <c r="AB132" s="408"/>
      <c r="AC132" s="408"/>
    </row>
    <row r="133" spans="1:29" ht="15.75" customHeight="1" x14ac:dyDescent="0.35">
      <c r="A133" s="472"/>
      <c r="B133" s="472"/>
      <c r="C133" s="472"/>
      <c r="D133" s="1476"/>
      <c r="E133" s="1442"/>
      <c r="F133" s="1466"/>
      <c r="G133" s="472"/>
      <c r="H133" s="1449"/>
      <c r="I133" s="410"/>
      <c r="J133" s="410"/>
      <c r="K133" s="410"/>
      <c r="L133" s="408"/>
      <c r="M133" s="410"/>
      <c r="N133" s="410"/>
      <c r="O133" s="408"/>
      <c r="P133" s="408"/>
      <c r="Q133" s="408"/>
      <c r="R133" s="408"/>
      <c r="S133" s="408"/>
      <c r="T133" s="408"/>
      <c r="U133" s="408"/>
      <c r="V133" s="408"/>
      <c r="W133" s="408"/>
      <c r="X133" s="408"/>
      <c r="Y133" s="408"/>
      <c r="Z133" s="408"/>
      <c r="AA133" s="408"/>
      <c r="AB133" s="408"/>
      <c r="AC133" s="408"/>
    </row>
    <row r="134" spans="1:29" ht="15.75" customHeight="1" x14ac:dyDescent="0.35">
      <c r="A134" s="472"/>
      <c r="B134" s="472"/>
      <c r="C134" s="472"/>
      <c r="D134" s="1476"/>
      <c r="E134" s="1442"/>
      <c r="F134" s="1466"/>
      <c r="G134" s="472"/>
      <c r="H134" s="1449"/>
      <c r="I134" s="410"/>
      <c r="J134" s="410"/>
      <c r="K134" s="410"/>
      <c r="L134" s="408"/>
      <c r="M134" s="410"/>
      <c r="N134" s="410"/>
      <c r="O134" s="408"/>
      <c r="P134" s="408"/>
      <c r="Q134" s="408"/>
      <c r="R134" s="408"/>
      <c r="S134" s="408"/>
      <c r="T134" s="408"/>
      <c r="U134" s="408"/>
      <c r="V134" s="408"/>
      <c r="W134" s="408"/>
      <c r="X134" s="408"/>
      <c r="Y134" s="408"/>
      <c r="Z134" s="408"/>
      <c r="AA134" s="408"/>
      <c r="AB134" s="408"/>
      <c r="AC134" s="408"/>
    </row>
    <row r="135" spans="1:29" ht="15.75" customHeight="1" x14ac:dyDescent="0.35">
      <c r="A135" s="472"/>
      <c r="B135" s="472"/>
      <c r="C135" s="472"/>
      <c r="D135" s="1476"/>
      <c r="E135" s="1442"/>
      <c r="F135" s="1466"/>
      <c r="G135" s="472"/>
      <c r="H135" s="1449"/>
      <c r="I135" s="410"/>
      <c r="J135" s="410"/>
      <c r="K135" s="410"/>
      <c r="L135" s="408"/>
      <c r="M135" s="410"/>
      <c r="N135" s="410"/>
      <c r="O135" s="408"/>
      <c r="P135" s="408"/>
      <c r="Q135" s="408"/>
      <c r="R135" s="408"/>
      <c r="S135" s="408"/>
      <c r="T135" s="408"/>
      <c r="U135" s="408"/>
      <c r="V135" s="408"/>
      <c r="W135" s="408"/>
      <c r="X135" s="408"/>
      <c r="Y135" s="408"/>
      <c r="Z135" s="408"/>
      <c r="AA135" s="408"/>
      <c r="AB135" s="408"/>
      <c r="AC135" s="408"/>
    </row>
    <row r="136" spans="1:29" ht="15.75" customHeight="1" x14ac:dyDescent="0.35">
      <c r="A136" s="472"/>
      <c r="B136" s="472"/>
      <c r="C136" s="472"/>
      <c r="D136" s="1476"/>
      <c r="E136" s="1442"/>
      <c r="F136" s="1466"/>
      <c r="G136" s="472"/>
      <c r="H136" s="1449"/>
      <c r="I136" s="410"/>
      <c r="J136" s="410"/>
      <c r="K136" s="410"/>
      <c r="L136" s="408"/>
      <c r="M136" s="410"/>
      <c r="N136" s="410"/>
      <c r="O136" s="408"/>
      <c r="P136" s="408"/>
      <c r="Q136" s="408"/>
      <c r="R136" s="408"/>
      <c r="S136" s="408"/>
      <c r="T136" s="408"/>
      <c r="U136" s="408"/>
      <c r="V136" s="408"/>
      <c r="W136" s="408"/>
      <c r="X136" s="408"/>
      <c r="Y136" s="408"/>
      <c r="Z136" s="408"/>
      <c r="AA136" s="408"/>
      <c r="AB136" s="408"/>
      <c r="AC136" s="408"/>
    </row>
    <row r="137" spans="1:29" ht="15.75" customHeight="1" x14ac:dyDescent="0.35">
      <c r="A137" s="472"/>
      <c r="B137" s="472"/>
      <c r="C137" s="472"/>
      <c r="D137" s="1476"/>
      <c r="E137" s="1442"/>
      <c r="F137" s="1466"/>
      <c r="G137" s="472"/>
      <c r="H137" s="1449"/>
      <c r="I137" s="410"/>
      <c r="J137" s="410"/>
      <c r="K137" s="410"/>
      <c r="L137" s="408"/>
      <c r="M137" s="410"/>
      <c r="N137" s="410"/>
      <c r="O137" s="408"/>
      <c r="P137" s="408"/>
      <c r="Q137" s="408"/>
      <c r="R137" s="408"/>
      <c r="S137" s="408"/>
      <c r="T137" s="408"/>
      <c r="U137" s="408"/>
      <c r="V137" s="408"/>
      <c r="W137" s="408"/>
      <c r="X137" s="408"/>
      <c r="Y137" s="408"/>
      <c r="Z137" s="408"/>
      <c r="AA137" s="408"/>
      <c r="AB137" s="408"/>
      <c r="AC137" s="408"/>
    </row>
    <row r="138" spans="1:29" ht="15.75" customHeight="1" x14ac:dyDescent="0.35">
      <c r="A138" s="472"/>
      <c r="B138" s="472"/>
      <c r="C138" s="472"/>
      <c r="D138" s="1476"/>
      <c r="E138" s="1442"/>
      <c r="F138" s="1466"/>
      <c r="G138" s="472"/>
      <c r="H138" s="1449"/>
      <c r="I138" s="410"/>
      <c r="J138" s="410"/>
      <c r="K138" s="410"/>
      <c r="L138" s="408"/>
      <c r="M138" s="410"/>
      <c r="N138" s="410"/>
      <c r="O138" s="408"/>
      <c r="P138" s="408"/>
      <c r="Q138" s="408"/>
      <c r="R138" s="408"/>
      <c r="S138" s="408"/>
      <c r="T138" s="408"/>
      <c r="U138" s="408"/>
      <c r="V138" s="408"/>
      <c r="W138" s="408"/>
      <c r="X138" s="408"/>
      <c r="Y138" s="408"/>
      <c r="Z138" s="408"/>
      <c r="AA138" s="408"/>
      <c r="AB138" s="408"/>
      <c r="AC138" s="408"/>
    </row>
    <row r="139" spans="1:29" ht="15.75" customHeight="1" x14ac:dyDescent="0.35">
      <c r="A139" s="472"/>
      <c r="B139" s="472"/>
      <c r="C139" s="472"/>
      <c r="D139" s="1476"/>
      <c r="E139" s="1442"/>
      <c r="F139" s="1466"/>
      <c r="G139" s="472"/>
      <c r="H139" s="1449"/>
      <c r="I139" s="410"/>
      <c r="J139" s="410"/>
      <c r="K139" s="410"/>
      <c r="L139" s="408"/>
      <c r="M139" s="410"/>
      <c r="N139" s="410"/>
      <c r="O139" s="408"/>
      <c r="P139" s="408"/>
      <c r="Q139" s="408"/>
      <c r="R139" s="408"/>
      <c r="S139" s="408"/>
      <c r="T139" s="408"/>
      <c r="U139" s="408"/>
      <c r="V139" s="408"/>
      <c r="W139" s="408"/>
      <c r="X139" s="408"/>
      <c r="Y139" s="408"/>
      <c r="Z139" s="408"/>
      <c r="AA139" s="408"/>
      <c r="AB139" s="408"/>
      <c r="AC139" s="408"/>
    </row>
    <row r="140" spans="1:29" ht="15.75" customHeight="1" x14ac:dyDescent="0.35">
      <c r="A140" s="472"/>
      <c r="B140" s="472"/>
      <c r="C140" s="472"/>
      <c r="D140" s="1476"/>
      <c r="E140" s="1442"/>
      <c r="F140" s="1466"/>
      <c r="G140" s="472"/>
      <c r="H140" s="1449"/>
      <c r="I140" s="410"/>
      <c r="J140" s="410"/>
      <c r="K140" s="410"/>
      <c r="L140" s="408"/>
      <c r="M140" s="410"/>
      <c r="N140" s="410"/>
      <c r="O140" s="408"/>
      <c r="P140" s="408"/>
      <c r="Q140" s="408"/>
      <c r="R140" s="408"/>
      <c r="S140" s="408"/>
      <c r="T140" s="408"/>
      <c r="U140" s="408"/>
      <c r="V140" s="408"/>
      <c r="W140" s="408"/>
      <c r="X140" s="408"/>
      <c r="Y140" s="408"/>
      <c r="Z140" s="408"/>
      <c r="AA140" s="408"/>
      <c r="AB140" s="408"/>
      <c r="AC140" s="408"/>
    </row>
    <row r="141" spans="1:29" ht="15.75" customHeight="1" x14ac:dyDescent="0.35">
      <c r="A141" s="472"/>
      <c r="B141" s="472"/>
      <c r="C141" s="472"/>
      <c r="D141" s="1476"/>
      <c r="E141" s="1442"/>
      <c r="F141" s="1466"/>
      <c r="G141" s="472"/>
      <c r="H141" s="1449"/>
      <c r="I141" s="410"/>
      <c r="J141" s="410"/>
      <c r="K141" s="410"/>
      <c r="L141" s="408"/>
      <c r="M141" s="410"/>
      <c r="N141" s="410"/>
      <c r="O141" s="408"/>
      <c r="P141" s="408"/>
      <c r="Q141" s="408"/>
      <c r="R141" s="408"/>
      <c r="S141" s="408"/>
      <c r="T141" s="408"/>
      <c r="U141" s="408"/>
      <c r="V141" s="408"/>
      <c r="W141" s="408"/>
      <c r="X141" s="408"/>
      <c r="Y141" s="408"/>
      <c r="Z141" s="408"/>
      <c r="AA141" s="408"/>
      <c r="AB141" s="408"/>
      <c r="AC141" s="408"/>
    </row>
    <row r="142" spans="1:29" ht="15.75" customHeight="1" x14ac:dyDescent="0.35">
      <c r="A142" s="472"/>
      <c r="B142" s="472"/>
      <c r="C142" s="472"/>
      <c r="D142" s="1476"/>
      <c r="E142" s="1442"/>
      <c r="F142" s="1466"/>
      <c r="G142" s="472"/>
      <c r="H142" s="1449"/>
      <c r="I142" s="410"/>
      <c r="J142" s="410"/>
      <c r="K142" s="410"/>
      <c r="L142" s="408"/>
      <c r="M142" s="410"/>
      <c r="N142" s="410"/>
      <c r="O142" s="408"/>
      <c r="P142" s="408"/>
      <c r="Q142" s="408"/>
      <c r="R142" s="408"/>
      <c r="S142" s="408"/>
      <c r="T142" s="408"/>
      <c r="U142" s="408"/>
      <c r="V142" s="408"/>
      <c r="W142" s="408"/>
      <c r="X142" s="408"/>
      <c r="Y142" s="408"/>
      <c r="Z142" s="408"/>
      <c r="AA142" s="408"/>
      <c r="AB142" s="408"/>
      <c r="AC142" s="408"/>
    </row>
    <row r="143" spans="1:29" ht="15.75" customHeight="1" x14ac:dyDescent="0.35">
      <c r="A143" s="472"/>
      <c r="B143" s="472"/>
      <c r="C143" s="472"/>
      <c r="D143" s="1476"/>
      <c r="E143" s="1442"/>
      <c r="F143" s="1466"/>
      <c r="G143" s="472"/>
      <c r="H143" s="1449"/>
      <c r="I143" s="410"/>
      <c r="J143" s="410"/>
      <c r="K143" s="410"/>
      <c r="L143" s="408"/>
      <c r="M143" s="410"/>
      <c r="N143" s="410"/>
      <c r="O143" s="408"/>
      <c r="P143" s="408"/>
      <c r="Q143" s="408"/>
      <c r="R143" s="408"/>
      <c r="S143" s="408"/>
      <c r="T143" s="408"/>
      <c r="U143" s="408"/>
      <c r="V143" s="408"/>
      <c r="W143" s="408"/>
      <c r="X143" s="408"/>
      <c r="Y143" s="408"/>
      <c r="Z143" s="408"/>
      <c r="AA143" s="408"/>
      <c r="AB143" s="408"/>
      <c r="AC143" s="408"/>
    </row>
    <row r="144" spans="1:29" ht="15.75" customHeight="1" x14ac:dyDescent="0.35">
      <c r="A144" s="472"/>
      <c r="B144" s="472"/>
      <c r="C144" s="472"/>
      <c r="D144" s="1476"/>
      <c r="E144" s="1442"/>
      <c r="F144" s="1466"/>
      <c r="G144" s="472"/>
      <c r="H144" s="1449"/>
      <c r="I144" s="410"/>
      <c r="J144" s="410"/>
      <c r="K144" s="410"/>
      <c r="L144" s="408"/>
      <c r="M144" s="410"/>
      <c r="N144" s="410"/>
      <c r="O144" s="408"/>
      <c r="P144" s="408"/>
      <c r="Q144" s="408"/>
      <c r="R144" s="408"/>
      <c r="S144" s="408"/>
      <c r="T144" s="408"/>
      <c r="U144" s="408"/>
      <c r="V144" s="408"/>
      <c r="W144" s="408"/>
      <c r="X144" s="408"/>
      <c r="Y144" s="408"/>
      <c r="Z144" s="408"/>
      <c r="AA144" s="408"/>
      <c r="AB144" s="408"/>
      <c r="AC144" s="408"/>
    </row>
    <row r="145" spans="1:29" ht="15.75" customHeight="1" x14ac:dyDescent="0.35">
      <c r="A145" s="472"/>
      <c r="B145" s="472"/>
      <c r="C145" s="472"/>
      <c r="D145" s="1476"/>
      <c r="E145" s="1442"/>
      <c r="F145" s="1466"/>
      <c r="G145" s="472"/>
      <c r="H145" s="1449"/>
      <c r="I145" s="410"/>
      <c r="J145" s="410"/>
      <c r="K145" s="410"/>
      <c r="L145" s="408"/>
      <c r="M145" s="410"/>
      <c r="N145" s="410"/>
      <c r="O145" s="408"/>
      <c r="P145" s="408"/>
      <c r="Q145" s="408"/>
      <c r="R145" s="408"/>
      <c r="S145" s="408"/>
      <c r="T145" s="408"/>
      <c r="U145" s="408"/>
      <c r="V145" s="408"/>
      <c r="W145" s="408"/>
      <c r="X145" s="408"/>
      <c r="Y145" s="408"/>
      <c r="Z145" s="408"/>
      <c r="AA145" s="408"/>
      <c r="AB145" s="408"/>
      <c r="AC145" s="408"/>
    </row>
    <row r="146" spans="1:29" ht="15.75" customHeight="1" x14ac:dyDescent="0.35">
      <c r="A146" s="472"/>
      <c r="B146" s="472"/>
      <c r="C146" s="472"/>
      <c r="D146" s="1476"/>
      <c r="E146" s="1442"/>
      <c r="F146" s="1466"/>
      <c r="G146" s="472"/>
      <c r="H146" s="1449"/>
      <c r="I146" s="410"/>
      <c r="J146" s="410"/>
      <c r="K146" s="410"/>
      <c r="L146" s="408"/>
      <c r="M146" s="410"/>
      <c r="N146" s="410"/>
      <c r="O146" s="408"/>
      <c r="P146" s="408"/>
      <c r="Q146" s="408"/>
      <c r="R146" s="408"/>
      <c r="S146" s="408"/>
      <c r="T146" s="408"/>
      <c r="U146" s="408"/>
      <c r="V146" s="408"/>
      <c r="W146" s="408"/>
      <c r="X146" s="408"/>
      <c r="Y146" s="408"/>
      <c r="Z146" s="408"/>
      <c r="AA146" s="408"/>
      <c r="AB146" s="408"/>
      <c r="AC146" s="408"/>
    </row>
    <row r="147" spans="1:29" ht="15.75" customHeight="1" x14ac:dyDescent="0.35">
      <c r="A147" s="472"/>
      <c r="B147" s="472"/>
      <c r="C147" s="472"/>
      <c r="D147" s="1476"/>
      <c r="E147" s="1442"/>
      <c r="F147" s="1466"/>
      <c r="G147" s="472"/>
      <c r="H147" s="1449"/>
      <c r="I147" s="410"/>
      <c r="J147" s="410"/>
      <c r="K147" s="410"/>
      <c r="L147" s="408"/>
      <c r="M147" s="410"/>
      <c r="N147" s="410"/>
      <c r="O147" s="408"/>
      <c r="P147" s="408"/>
      <c r="Q147" s="408"/>
      <c r="R147" s="408"/>
      <c r="S147" s="408"/>
      <c r="T147" s="408"/>
      <c r="U147" s="408"/>
      <c r="V147" s="408"/>
      <c r="W147" s="408"/>
      <c r="X147" s="408"/>
      <c r="Y147" s="408"/>
      <c r="Z147" s="408"/>
      <c r="AA147" s="408"/>
      <c r="AB147" s="408"/>
      <c r="AC147" s="408"/>
    </row>
    <row r="148" spans="1:29" ht="15.75" customHeight="1" x14ac:dyDescent="0.35">
      <c r="A148" s="472"/>
      <c r="B148" s="472"/>
      <c r="C148" s="472"/>
      <c r="D148" s="1476"/>
      <c r="E148" s="1442"/>
      <c r="F148" s="1466"/>
      <c r="G148" s="472"/>
      <c r="H148" s="1449"/>
      <c r="I148" s="410"/>
      <c r="J148" s="410"/>
      <c r="K148" s="410"/>
      <c r="L148" s="408"/>
      <c r="M148" s="410"/>
      <c r="N148" s="410"/>
      <c r="O148" s="408"/>
      <c r="P148" s="408"/>
      <c r="Q148" s="408"/>
      <c r="R148" s="408"/>
      <c r="S148" s="408"/>
      <c r="T148" s="408"/>
      <c r="U148" s="408"/>
      <c r="V148" s="408"/>
      <c r="W148" s="408"/>
      <c r="X148" s="408"/>
      <c r="Y148" s="408"/>
      <c r="Z148" s="408"/>
      <c r="AA148" s="408"/>
      <c r="AB148" s="408"/>
      <c r="AC148" s="408"/>
    </row>
    <row r="149" spans="1:29" ht="15.75" customHeight="1" x14ac:dyDescent="0.35">
      <c r="A149" s="472"/>
      <c r="B149" s="472"/>
      <c r="C149" s="472"/>
      <c r="D149" s="1476"/>
      <c r="E149" s="1442"/>
      <c r="F149" s="1466"/>
      <c r="G149" s="472"/>
      <c r="H149" s="1449"/>
      <c r="I149" s="410"/>
      <c r="J149" s="410"/>
      <c r="K149" s="410"/>
      <c r="L149" s="408"/>
      <c r="M149" s="410"/>
      <c r="N149" s="410"/>
      <c r="O149" s="408"/>
      <c r="P149" s="408"/>
      <c r="Q149" s="408"/>
      <c r="R149" s="408"/>
      <c r="S149" s="408"/>
      <c r="T149" s="408"/>
      <c r="U149" s="408"/>
      <c r="V149" s="408"/>
      <c r="W149" s="408"/>
      <c r="X149" s="408"/>
      <c r="Y149" s="408"/>
      <c r="Z149" s="408"/>
      <c r="AA149" s="408"/>
      <c r="AB149" s="408"/>
      <c r="AC149" s="408"/>
    </row>
    <row r="150" spans="1:29" ht="15.75" customHeight="1" x14ac:dyDescent="0.35">
      <c r="A150" s="472"/>
      <c r="B150" s="472"/>
      <c r="C150" s="472"/>
      <c r="D150" s="1476"/>
      <c r="E150" s="1442"/>
      <c r="F150" s="1466"/>
      <c r="G150" s="472"/>
      <c r="H150" s="1449"/>
      <c r="I150" s="410"/>
      <c r="J150" s="410"/>
      <c r="K150" s="410"/>
      <c r="L150" s="408"/>
      <c r="M150" s="410"/>
      <c r="N150" s="410"/>
      <c r="O150" s="408"/>
      <c r="P150" s="408"/>
      <c r="Q150" s="408"/>
      <c r="R150" s="408"/>
      <c r="S150" s="408"/>
      <c r="T150" s="408"/>
      <c r="U150" s="408"/>
      <c r="V150" s="408"/>
      <c r="W150" s="408"/>
      <c r="X150" s="408"/>
      <c r="Y150" s="408"/>
      <c r="Z150" s="408"/>
      <c r="AA150" s="408"/>
      <c r="AB150" s="408"/>
      <c r="AC150" s="408"/>
    </row>
    <row r="151" spans="1:29" ht="15.75" customHeight="1" x14ac:dyDescent="0.35">
      <c r="A151" s="472"/>
      <c r="B151" s="472"/>
      <c r="C151" s="472"/>
      <c r="D151" s="1476"/>
      <c r="E151" s="1442"/>
      <c r="F151" s="1466"/>
      <c r="G151" s="472"/>
      <c r="H151" s="1449"/>
      <c r="I151" s="410"/>
      <c r="J151" s="410"/>
      <c r="K151" s="410"/>
      <c r="L151" s="408"/>
      <c r="M151" s="410"/>
      <c r="N151" s="410"/>
      <c r="O151" s="408"/>
      <c r="P151" s="408"/>
      <c r="Q151" s="408"/>
      <c r="R151" s="408"/>
      <c r="S151" s="408"/>
      <c r="T151" s="408"/>
      <c r="U151" s="408"/>
      <c r="V151" s="408"/>
      <c r="W151" s="408"/>
      <c r="X151" s="408"/>
      <c r="Y151" s="408"/>
      <c r="Z151" s="408"/>
      <c r="AA151" s="408"/>
      <c r="AB151" s="408"/>
      <c r="AC151" s="408"/>
    </row>
    <row r="152" spans="1:29" ht="15.75" customHeight="1" x14ac:dyDescent="0.35">
      <c r="A152" s="472"/>
      <c r="B152" s="472"/>
      <c r="C152" s="472"/>
      <c r="D152" s="1476"/>
      <c r="E152" s="1442"/>
      <c r="F152" s="1466"/>
      <c r="G152" s="472"/>
      <c r="H152" s="1449"/>
      <c r="I152" s="410"/>
      <c r="J152" s="410"/>
      <c r="K152" s="410"/>
      <c r="L152" s="408"/>
      <c r="M152" s="410"/>
      <c r="N152" s="410"/>
      <c r="O152" s="408"/>
      <c r="P152" s="408"/>
      <c r="Q152" s="408"/>
      <c r="R152" s="408"/>
      <c r="S152" s="408"/>
      <c r="T152" s="408"/>
      <c r="U152" s="408"/>
      <c r="V152" s="408"/>
      <c r="W152" s="408"/>
      <c r="X152" s="408"/>
      <c r="Y152" s="408"/>
      <c r="Z152" s="408"/>
      <c r="AA152" s="408"/>
      <c r="AB152" s="408"/>
      <c r="AC152" s="408"/>
    </row>
    <row r="153" spans="1:29" ht="15.75" customHeight="1" x14ac:dyDescent="0.35">
      <c r="A153" s="472"/>
      <c r="B153" s="472"/>
      <c r="C153" s="472"/>
      <c r="D153" s="1476"/>
      <c r="E153" s="1442"/>
      <c r="F153" s="1466"/>
      <c r="G153" s="472"/>
      <c r="H153" s="1449"/>
      <c r="I153" s="410"/>
      <c r="J153" s="410"/>
      <c r="K153" s="410"/>
      <c r="L153" s="408"/>
      <c r="M153" s="410"/>
      <c r="N153" s="410"/>
      <c r="O153" s="408"/>
      <c r="P153" s="408"/>
      <c r="Q153" s="408"/>
      <c r="R153" s="408"/>
      <c r="S153" s="408"/>
      <c r="T153" s="408"/>
      <c r="U153" s="408"/>
      <c r="V153" s="408"/>
      <c r="W153" s="408"/>
      <c r="X153" s="408"/>
      <c r="Y153" s="408"/>
      <c r="Z153" s="408"/>
      <c r="AA153" s="408"/>
      <c r="AB153" s="408"/>
      <c r="AC153" s="408"/>
    </row>
    <row r="154" spans="1:29" ht="15.75" customHeight="1" x14ac:dyDescent="0.35">
      <c r="A154" s="472"/>
      <c r="B154" s="472"/>
      <c r="C154" s="472"/>
      <c r="D154" s="1476"/>
      <c r="E154" s="1442"/>
      <c r="F154" s="1466"/>
      <c r="G154" s="472"/>
      <c r="H154" s="1449"/>
      <c r="I154" s="410"/>
      <c r="J154" s="410"/>
      <c r="K154" s="410"/>
      <c r="L154" s="408"/>
      <c r="M154" s="410"/>
      <c r="N154" s="410"/>
      <c r="O154" s="408"/>
      <c r="P154" s="408"/>
      <c r="Q154" s="408"/>
      <c r="R154" s="408"/>
      <c r="S154" s="408"/>
      <c r="T154" s="408"/>
      <c r="U154" s="408"/>
      <c r="V154" s="408"/>
      <c r="W154" s="408"/>
      <c r="X154" s="408"/>
      <c r="Y154" s="408"/>
      <c r="Z154" s="408"/>
      <c r="AA154" s="408"/>
      <c r="AB154" s="408"/>
      <c r="AC154" s="408"/>
    </row>
    <row r="155" spans="1:29" ht="15.75" customHeight="1" x14ac:dyDescent="0.35">
      <c r="A155" s="472"/>
      <c r="B155" s="472"/>
      <c r="C155" s="472"/>
      <c r="D155" s="1476"/>
      <c r="E155" s="1442"/>
      <c r="F155" s="1466"/>
      <c r="G155" s="472"/>
      <c r="H155" s="1449"/>
      <c r="I155" s="410"/>
      <c r="J155" s="410"/>
      <c r="K155" s="410"/>
      <c r="L155" s="408"/>
      <c r="M155" s="410"/>
      <c r="N155" s="410"/>
      <c r="O155" s="408"/>
      <c r="P155" s="408"/>
      <c r="Q155" s="408"/>
      <c r="R155" s="408"/>
      <c r="S155" s="408"/>
      <c r="T155" s="408"/>
      <c r="U155" s="408"/>
      <c r="V155" s="408"/>
      <c r="W155" s="408"/>
      <c r="X155" s="408"/>
      <c r="Y155" s="408"/>
      <c r="Z155" s="408"/>
      <c r="AA155" s="408"/>
      <c r="AB155" s="408"/>
      <c r="AC155" s="408"/>
    </row>
    <row r="156" spans="1:29" ht="15.75" customHeight="1" x14ac:dyDescent="0.35">
      <c r="A156" s="472"/>
      <c r="B156" s="472"/>
      <c r="C156" s="472"/>
      <c r="D156" s="1476"/>
      <c r="E156" s="1442"/>
      <c r="F156" s="1466"/>
      <c r="G156" s="472"/>
      <c r="H156" s="1449"/>
      <c r="I156" s="410"/>
      <c r="J156" s="410"/>
      <c r="K156" s="410"/>
      <c r="L156" s="408"/>
      <c r="M156" s="410"/>
      <c r="N156" s="410"/>
      <c r="O156" s="408"/>
      <c r="P156" s="408"/>
      <c r="Q156" s="408"/>
      <c r="R156" s="408"/>
      <c r="S156" s="408"/>
      <c r="T156" s="408"/>
      <c r="U156" s="408"/>
      <c r="V156" s="408"/>
      <c r="W156" s="408"/>
      <c r="X156" s="408"/>
      <c r="Y156" s="408"/>
      <c r="Z156" s="408"/>
      <c r="AA156" s="408"/>
      <c r="AB156" s="408"/>
      <c r="AC156" s="408"/>
    </row>
    <row r="157" spans="1:29" ht="15.75" customHeight="1" x14ac:dyDescent="0.35">
      <c r="A157" s="472"/>
      <c r="B157" s="472"/>
      <c r="C157" s="472"/>
      <c r="D157" s="1476"/>
      <c r="E157" s="1442"/>
      <c r="F157" s="1466"/>
      <c r="G157" s="472"/>
      <c r="H157" s="1449"/>
      <c r="I157" s="410"/>
      <c r="J157" s="410"/>
      <c r="K157" s="410"/>
      <c r="L157" s="408"/>
      <c r="M157" s="410"/>
      <c r="N157" s="410"/>
      <c r="O157" s="408"/>
      <c r="P157" s="408"/>
      <c r="Q157" s="408"/>
      <c r="R157" s="408"/>
      <c r="S157" s="408"/>
      <c r="T157" s="408"/>
      <c r="U157" s="408"/>
      <c r="V157" s="408"/>
      <c r="W157" s="408"/>
      <c r="X157" s="408"/>
      <c r="Y157" s="408"/>
      <c r="Z157" s="408"/>
      <c r="AA157" s="408"/>
      <c r="AB157" s="408"/>
      <c r="AC157" s="408"/>
    </row>
    <row r="158" spans="1:29" ht="15.75" customHeight="1" x14ac:dyDescent="0.35">
      <c r="A158" s="472"/>
      <c r="B158" s="472"/>
      <c r="C158" s="472"/>
      <c r="D158" s="1476"/>
      <c r="E158" s="1442"/>
      <c r="F158" s="1466"/>
      <c r="G158" s="472"/>
      <c r="H158" s="1449"/>
      <c r="I158" s="410"/>
      <c r="J158" s="410"/>
      <c r="K158" s="410"/>
      <c r="L158" s="408"/>
      <c r="M158" s="410"/>
      <c r="N158" s="410"/>
      <c r="O158" s="408"/>
      <c r="P158" s="408"/>
      <c r="Q158" s="408"/>
      <c r="R158" s="408"/>
      <c r="S158" s="408"/>
      <c r="T158" s="408"/>
      <c r="U158" s="408"/>
      <c r="V158" s="408"/>
      <c r="W158" s="408"/>
      <c r="X158" s="408"/>
      <c r="Y158" s="408"/>
      <c r="Z158" s="408"/>
      <c r="AA158" s="408"/>
      <c r="AB158" s="408"/>
      <c r="AC158" s="408"/>
    </row>
    <row r="159" spans="1:29" ht="15.75" customHeight="1" x14ac:dyDescent="0.35">
      <c r="A159" s="472"/>
      <c r="B159" s="472"/>
      <c r="C159" s="472"/>
      <c r="D159" s="1476"/>
      <c r="E159" s="1442"/>
      <c r="F159" s="1466"/>
      <c r="G159" s="472"/>
      <c r="H159" s="1449"/>
      <c r="I159" s="410"/>
      <c r="J159" s="410"/>
      <c r="K159" s="410"/>
      <c r="L159" s="408"/>
      <c r="M159" s="410"/>
      <c r="N159" s="410"/>
      <c r="O159" s="408"/>
      <c r="P159" s="408"/>
      <c r="Q159" s="408"/>
      <c r="R159" s="408"/>
      <c r="S159" s="408"/>
      <c r="T159" s="408"/>
      <c r="U159" s="408"/>
      <c r="V159" s="408"/>
      <c r="W159" s="408"/>
      <c r="X159" s="408"/>
      <c r="Y159" s="408"/>
      <c r="Z159" s="408"/>
      <c r="AA159" s="408"/>
      <c r="AB159" s="408"/>
      <c r="AC159" s="408"/>
    </row>
    <row r="160" spans="1:29" ht="15.75" customHeight="1" x14ac:dyDescent="0.35">
      <c r="A160" s="472"/>
      <c r="B160" s="472"/>
      <c r="C160" s="472"/>
      <c r="D160" s="1476"/>
      <c r="E160" s="1442"/>
      <c r="F160" s="1466"/>
      <c r="G160" s="472"/>
      <c r="H160" s="1449"/>
      <c r="I160" s="410"/>
      <c r="J160" s="410"/>
      <c r="K160" s="410"/>
      <c r="L160" s="408"/>
      <c r="M160" s="410"/>
      <c r="N160" s="410"/>
      <c r="O160" s="408"/>
      <c r="P160" s="408"/>
      <c r="Q160" s="408"/>
      <c r="R160" s="408"/>
      <c r="S160" s="408"/>
      <c r="T160" s="408"/>
      <c r="U160" s="408"/>
      <c r="V160" s="408"/>
      <c r="W160" s="408"/>
      <c r="X160" s="408"/>
      <c r="Y160" s="408"/>
      <c r="Z160" s="408"/>
      <c r="AA160" s="408"/>
      <c r="AB160" s="408"/>
      <c r="AC160" s="408"/>
    </row>
    <row r="161" spans="1:29" ht="15.75" customHeight="1" x14ac:dyDescent="0.35">
      <c r="A161" s="472"/>
      <c r="B161" s="472"/>
      <c r="C161" s="472"/>
      <c r="D161" s="1476"/>
      <c r="E161" s="1442"/>
      <c r="F161" s="1466"/>
      <c r="G161" s="472"/>
      <c r="H161" s="1449"/>
      <c r="I161" s="410"/>
      <c r="J161" s="410"/>
      <c r="K161" s="410"/>
      <c r="L161" s="408"/>
      <c r="M161" s="410"/>
      <c r="N161" s="410"/>
      <c r="O161" s="408"/>
      <c r="P161" s="408"/>
      <c r="Q161" s="408"/>
      <c r="R161" s="408"/>
      <c r="S161" s="408"/>
      <c r="T161" s="408"/>
      <c r="U161" s="408"/>
      <c r="V161" s="408"/>
      <c r="W161" s="408"/>
      <c r="X161" s="408"/>
      <c r="Y161" s="408"/>
      <c r="Z161" s="408"/>
      <c r="AA161" s="408"/>
      <c r="AB161" s="408"/>
      <c r="AC161" s="408"/>
    </row>
    <row r="162" spans="1:29" ht="15.75" customHeight="1" x14ac:dyDescent="0.35">
      <c r="A162" s="472"/>
      <c r="B162" s="472"/>
      <c r="C162" s="472"/>
      <c r="D162" s="1476"/>
      <c r="E162" s="1442"/>
      <c r="F162" s="1466"/>
      <c r="G162" s="472"/>
      <c r="H162" s="1449"/>
      <c r="I162" s="410"/>
      <c r="J162" s="410"/>
      <c r="K162" s="410"/>
      <c r="L162" s="408"/>
      <c r="M162" s="410"/>
      <c r="N162" s="410"/>
      <c r="O162" s="408"/>
      <c r="P162" s="408"/>
      <c r="Q162" s="408"/>
      <c r="R162" s="408"/>
      <c r="S162" s="408"/>
      <c r="T162" s="408"/>
      <c r="U162" s="408"/>
      <c r="V162" s="408"/>
      <c r="W162" s="408"/>
      <c r="X162" s="408"/>
      <c r="Y162" s="408"/>
      <c r="Z162" s="408"/>
      <c r="AA162" s="408"/>
      <c r="AB162" s="408"/>
      <c r="AC162" s="408"/>
    </row>
    <row r="163" spans="1:29" ht="15.75" customHeight="1" x14ac:dyDescent="0.35">
      <c r="A163" s="472"/>
      <c r="B163" s="472"/>
      <c r="C163" s="472"/>
      <c r="D163" s="1476"/>
      <c r="E163" s="1442"/>
      <c r="F163" s="1466"/>
      <c r="G163" s="472"/>
      <c r="H163" s="1449"/>
      <c r="I163" s="410"/>
      <c r="J163" s="410"/>
      <c r="K163" s="410"/>
      <c r="L163" s="408"/>
      <c r="M163" s="410"/>
      <c r="N163" s="410"/>
      <c r="O163" s="408"/>
      <c r="P163" s="408"/>
      <c r="Q163" s="408"/>
      <c r="R163" s="408"/>
      <c r="S163" s="408"/>
      <c r="T163" s="408"/>
      <c r="U163" s="408"/>
      <c r="V163" s="408"/>
      <c r="W163" s="408"/>
      <c r="X163" s="408"/>
      <c r="Y163" s="408"/>
      <c r="Z163" s="408"/>
      <c r="AA163" s="408"/>
      <c r="AB163" s="408"/>
      <c r="AC163" s="408"/>
    </row>
    <row r="164" spans="1:29" ht="15.75" customHeight="1" x14ac:dyDescent="0.35">
      <c r="A164" s="472"/>
      <c r="B164" s="472"/>
      <c r="C164" s="472"/>
      <c r="D164" s="1476"/>
      <c r="E164" s="1442"/>
      <c r="F164" s="1466"/>
      <c r="G164" s="472"/>
      <c r="H164" s="1449"/>
      <c r="I164" s="410"/>
      <c r="J164" s="410"/>
      <c r="K164" s="410"/>
      <c r="L164" s="408"/>
      <c r="M164" s="410"/>
      <c r="N164" s="410"/>
      <c r="O164" s="408"/>
      <c r="P164" s="408"/>
      <c r="Q164" s="408"/>
      <c r="R164" s="408"/>
      <c r="S164" s="408"/>
      <c r="T164" s="408"/>
      <c r="U164" s="408"/>
      <c r="V164" s="408"/>
      <c r="W164" s="408"/>
      <c r="X164" s="408"/>
      <c r="Y164" s="408"/>
      <c r="Z164" s="408"/>
      <c r="AA164" s="408"/>
      <c r="AB164" s="408"/>
      <c r="AC164" s="408"/>
    </row>
    <row r="165" spans="1:29" ht="15.75" customHeight="1" x14ac:dyDescent="0.35">
      <c r="A165" s="472"/>
      <c r="B165" s="472"/>
      <c r="C165" s="472"/>
      <c r="D165" s="1476"/>
      <c r="E165" s="1442"/>
      <c r="F165" s="1466"/>
      <c r="G165" s="472"/>
      <c r="H165" s="1449"/>
      <c r="I165" s="410"/>
      <c r="J165" s="410"/>
      <c r="K165" s="410"/>
      <c r="L165" s="408"/>
      <c r="M165" s="410"/>
      <c r="N165" s="410"/>
      <c r="O165" s="408"/>
      <c r="P165" s="408"/>
      <c r="Q165" s="408"/>
      <c r="R165" s="408"/>
      <c r="S165" s="408"/>
      <c r="T165" s="408"/>
      <c r="U165" s="408"/>
      <c r="V165" s="408"/>
      <c r="W165" s="408"/>
      <c r="X165" s="408"/>
      <c r="Y165" s="408"/>
      <c r="Z165" s="408"/>
      <c r="AA165" s="408"/>
      <c r="AB165" s="408"/>
      <c r="AC165" s="408"/>
    </row>
    <row r="166" spans="1:29" ht="15.75" customHeight="1" x14ac:dyDescent="0.35">
      <c r="A166" s="472"/>
      <c r="B166" s="472"/>
      <c r="C166" s="472"/>
      <c r="D166" s="1476"/>
      <c r="E166" s="1442"/>
      <c r="F166" s="1466"/>
      <c r="G166" s="472"/>
      <c r="H166" s="1449"/>
      <c r="I166" s="410"/>
      <c r="J166" s="410"/>
      <c r="K166" s="410"/>
      <c r="L166" s="408"/>
      <c r="M166" s="410"/>
      <c r="N166" s="410"/>
      <c r="O166" s="408"/>
      <c r="P166" s="408"/>
      <c r="Q166" s="408"/>
      <c r="R166" s="408"/>
      <c r="S166" s="408"/>
      <c r="T166" s="408"/>
      <c r="U166" s="408"/>
      <c r="V166" s="408"/>
      <c r="W166" s="408"/>
      <c r="X166" s="408"/>
      <c r="Y166" s="408"/>
      <c r="Z166" s="408"/>
      <c r="AA166" s="408"/>
      <c r="AB166" s="408"/>
      <c r="AC166" s="408"/>
    </row>
    <row r="167" spans="1:29" ht="15.75" customHeight="1" x14ac:dyDescent="0.35">
      <c r="A167" s="472"/>
      <c r="B167" s="472"/>
      <c r="C167" s="472"/>
      <c r="D167" s="1476"/>
      <c r="E167" s="1442"/>
      <c r="F167" s="1466"/>
      <c r="G167" s="472"/>
      <c r="H167" s="1449"/>
      <c r="I167" s="410"/>
      <c r="J167" s="410"/>
      <c r="K167" s="410"/>
      <c r="L167" s="408"/>
      <c r="M167" s="410"/>
      <c r="N167" s="410"/>
      <c r="O167" s="408"/>
      <c r="P167" s="408"/>
      <c r="Q167" s="408"/>
      <c r="R167" s="408"/>
      <c r="S167" s="408"/>
      <c r="T167" s="408"/>
      <c r="U167" s="408"/>
      <c r="V167" s="408"/>
      <c r="W167" s="408"/>
      <c r="X167" s="408"/>
      <c r="Y167" s="408"/>
      <c r="Z167" s="408"/>
      <c r="AA167" s="408"/>
      <c r="AB167" s="408"/>
      <c r="AC167" s="408"/>
    </row>
    <row r="168" spans="1:29" ht="15.75" customHeight="1" x14ac:dyDescent="0.35">
      <c r="A168" s="472"/>
      <c r="B168" s="472"/>
      <c r="C168" s="472"/>
      <c r="D168" s="1476"/>
      <c r="E168" s="1442"/>
      <c r="F168" s="1466"/>
      <c r="G168" s="472"/>
      <c r="H168" s="1449"/>
      <c r="I168" s="410"/>
      <c r="J168" s="410"/>
      <c r="K168" s="410"/>
      <c r="L168" s="408"/>
      <c r="M168" s="410"/>
      <c r="N168" s="410"/>
      <c r="O168" s="408"/>
      <c r="P168" s="408"/>
      <c r="Q168" s="408"/>
      <c r="R168" s="408"/>
      <c r="S168" s="408"/>
      <c r="T168" s="408"/>
      <c r="U168" s="408"/>
      <c r="V168" s="408"/>
      <c r="W168" s="408"/>
      <c r="X168" s="408"/>
      <c r="Y168" s="408"/>
      <c r="Z168" s="408"/>
      <c r="AA168" s="408"/>
      <c r="AB168" s="408"/>
      <c r="AC168" s="408"/>
    </row>
    <row r="169" spans="1:29" ht="15.75" customHeight="1" x14ac:dyDescent="0.35">
      <c r="A169" s="472"/>
      <c r="B169" s="472"/>
      <c r="C169" s="472"/>
      <c r="D169" s="1476"/>
      <c r="E169" s="1442"/>
      <c r="F169" s="1466"/>
      <c r="G169" s="472"/>
      <c r="H169" s="1449"/>
      <c r="I169" s="410"/>
      <c r="J169" s="410"/>
      <c r="K169" s="410"/>
      <c r="L169" s="408"/>
      <c r="M169" s="410"/>
      <c r="N169" s="410"/>
      <c r="O169" s="408"/>
      <c r="P169" s="408"/>
      <c r="Q169" s="408"/>
      <c r="R169" s="408"/>
      <c r="S169" s="408"/>
      <c r="T169" s="408"/>
      <c r="U169" s="408"/>
      <c r="V169" s="408"/>
      <c r="W169" s="408"/>
      <c r="X169" s="408"/>
      <c r="Y169" s="408"/>
      <c r="Z169" s="408"/>
      <c r="AA169" s="408"/>
      <c r="AB169" s="408"/>
      <c r="AC169" s="408"/>
    </row>
    <row r="170" spans="1:29" ht="15.75" customHeight="1" x14ac:dyDescent="0.35">
      <c r="A170" s="472"/>
      <c r="B170" s="472"/>
      <c r="C170" s="472"/>
      <c r="D170" s="1476"/>
      <c r="E170" s="1442"/>
      <c r="F170" s="1466"/>
      <c r="G170" s="472"/>
      <c r="H170" s="1449"/>
      <c r="I170" s="410"/>
      <c r="J170" s="410"/>
      <c r="K170" s="410"/>
      <c r="L170" s="408"/>
      <c r="M170" s="410"/>
      <c r="N170" s="410"/>
      <c r="O170" s="408"/>
      <c r="P170" s="408"/>
      <c r="Q170" s="408"/>
      <c r="R170" s="408"/>
      <c r="S170" s="408"/>
      <c r="T170" s="408"/>
      <c r="U170" s="408"/>
      <c r="V170" s="408"/>
      <c r="W170" s="408"/>
      <c r="X170" s="408"/>
      <c r="Y170" s="408"/>
      <c r="Z170" s="408"/>
      <c r="AA170" s="408"/>
      <c r="AB170" s="408"/>
      <c r="AC170" s="408"/>
    </row>
    <row r="171" spans="1:29" ht="15.75" customHeight="1" x14ac:dyDescent="0.35">
      <c r="A171" s="472"/>
      <c r="B171" s="472"/>
      <c r="C171" s="472"/>
      <c r="D171" s="1476"/>
      <c r="E171" s="1442"/>
      <c r="F171" s="1466"/>
      <c r="G171" s="472"/>
      <c r="H171" s="1449"/>
      <c r="I171" s="410"/>
      <c r="J171" s="410"/>
      <c r="K171" s="410"/>
      <c r="L171" s="408"/>
      <c r="M171" s="410"/>
      <c r="N171" s="410"/>
      <c r="O171" s="408"/>
      <c r="P171" s="408"/>
      <c r="Q171" s="408"/>
      <c r="R171" s="408"/>
      <c r="S171" s="408"/>
      <c r="T171" s="408"/>
      <c r="U171" s="408"/>
      <c r="V171" s="408"/>
      <c r="W171" s="408"/>
      <c r="X171" s="408"/>
      <c r="Y171" s="408"/>
      <c r="Z171" s="408"/>
      <c r="AA171" s="408"/>
      <c r="AB171" s="408"/>
      <c r="AC171" s="408"/>
    </row>
    <row r="172" spans="1:29" ht="15.75" customHeight="1" x14ac:dyDescent="0.35">
      <c r="A172" s="472"/>
      <c r="B172" s="472"/>
      <c r="C172" s="472"/>
      <c r="D172" s="1476"/>
      <c r="E172" s="1442"/>
      <c r="F172" s="1466"/>
      <c r="G172" s="472"/>
      <c r="H172" s="1449"/>
      <c r="I172" s="410"/>
      <c r="J172" s="410"/>
      <c r="K172" s="410"/>
      <c r="L172" s="408"/>
      <c r="M172" s="410"/>
      <c r="N172" s="410"/>
      <c r="O172" s="408"/>
      <c r="P172" s="408"/>
      <c r="Q172" s="408"/>
      <c r="R172" s="408"/>
      <c r="S172" s="408"/>
      <c r="T172" s="408"/>
      <c r="U172" s="408"/>
      <c r="V172" s="408"/>
      <c r="W172" s="408"/>
      <c r="X172" s="408"/>
      <c r="Y172" s="408"/>
      <c r="Z172" s="408"/>
      <c r="AA172" s="408"/>
      <c r="AB172" s="408"/>
      <c r="AC172" s="408"/>
    </row>
    <row r="173" spans="1:29" ht="15.75" customHeight="1" x14ac:dyDescent="0.35">
      <c r="A173" s="472"/>
      <c r="B173" s="472"/>
      <c r="C173" s="472"/>
      <c r="D173" s="1476"/>
      <c r="E173" s="1442"/>
      <c r="F173" s="1466"/>
      <c r="G173" s="472"/>
      <c r="H173" s="1449"/>
      <c r="I173" s="410"/>
      <c r="J173" s="410"/>
      <c r="K173" s="410"/>
      <c r="L173" s="408"/>
      <c r="M173" s="410"/>
      <c r="N173" s="410"/>
      <c r="O173" s="408"/>
      <c r="P173" s="408"/>
      <c r="Q173" s="408"/>
      <c r="R173" s="408"/>
      <c r="S173" s="408"/>
      <c r="T173" s="408"/>
      <c r="U173" s="408"/>
      <c r="V173" s="408"/>
      <c r="W173" s="408"/>
      <c r="X173" s="408"/>
      <c r="Y173" s="408"/>
      <c r="Z173" s="408"/>
      <c r="AA173" s="408"/>
      <c r="AB173" s="408"/>
      <c r="AC173" s="408"/>
    </row>
    <row r="174" spans="1:29" ht="15.75" customHeight="1" x14ac:dyDescent="0.35">
      <c r="A174" s="472"/>
      <c r="B174" s="472"/>
      <c r="C174" s="472"/>
      <c r="D174" s="1476"/>
      <c r="E174" s="1442"/>
      <c r="F174" s="1466"/>
      <c r="G174" s="472"/>
      <c r="H174" s="1449"/>
      <c r="I174" s="410"/>
      <c r="J174" s="410"/>
      <c r="K174" s="410"/>
      <c r="L174" s="408"/>
      <c r="M174" s="410"/>
      <c r="N174" s="410"/>
      <c r="O174" s="408"/>
      <c r="P174" s="408"/>
      <c r="Q174" s="408"/>
      <c r="R174" s="408"/>
      <c r="S174" s="408"/>
      <c r="T174" s="408"/>
      <c r="U174" s="408"/>
      <c r="V174" s="408"/>
      <c r="W174" s="408"/>
      <c r="X174" s="408"/>
      <c r="Y174" s="408"/>
      <c r="Z174" s="408"/>
      <c r="AA174" s="408"/>
      <c r="AB174" s="408"/>
      <c r="AC174" s="408"/>
    </row>
    <row r="175" spans="1:29" ht="15.75" customHeight="1" x14ac:dyDescent="0.35">
      <c r="A175" s="472"/>
      <c r="B175" s="472"/>
      <c r="C175" s="472"/>
      <c r="D175" s="1476"/>
      <c r="E175" s="1442"/>
      <c r="F175" s="1466"/>
      <c r="G175" s="472"/>
      <c r="H175" s="1449"/>
      <c r="I175" s="410"/>
      <c r="J175" s="410"/>
      <c r="K175" s="410"/>
      <c r="L175" s="408"/>
      <c r="M175" s="410"/>
      <c r="N175" s="410"/>
      <c r="O175" s="408"/>
      <c r="P175" s="408"/>
      <c r="Q175" s="408"/>
      <c r="R175" s="408"/>
      <c r="S175" s="408"/>
      <c r="T175" s="408"/>
      <c r="U175" s="408"/>
      <c r="V175" s="408"/>
      <c r="W175" s="408"/>
      <c r="X175" s="408"/>
      <c r="Y175" s="408"/>
      <c r="Z175" s="408"/>
      <c r="AA175" s="408"/>
      <c r="AB175" s="408"/>
      <c r="AC175" s="408"/>
    </row>
    <row r="176" spans="1:29" ht="15.75" customHeight="1" x14ac:dyDescent="0.35">
      <c r="A176" s="472"/>
      <c r="B176" s="472"/>
      <c r="C176" s="472"/>
      <c r="D176" s="1476"/>
      <c r="E176" s="1442"/>
      <c r="F176" s="1466"/>
      <c r="G176" s="472"/>
      <c r="H176" s="1449"/>
      <c r="I176" s="410"/>
      <c r="J176" s="410"/>
      <c r="K176" s="410"/>
      <c r="L176" s="408"/>
      <c r="M176" s="410"/>
      <c r="N176" s="410"/>
      <c r="O176" s="408"/>
      <c r="P176" s="408"/>
      <c r="Q176" s="408"/>
      <c r="R176" s="408"/>
      <c r="S176" s="408"/>
      <c r="T176" s="408"/>
      <c r="U176" s="408"/>
      <c r="V176" s="408"/>
      <c r="W176" s="408"/>
      <c r="X176" s="408"/>
      <c r="Y176" s="408"/>
      <c r="Z176" s="408"/>
      <c r="AA176" s="408"/>
      <c r="AB176" s="408"/>
      <c r="AC176" s="408"/>
    </row>
    <row r="177" spans="1:29" ht="15.75" customHeight="1" x14ac:dyDescent="0.35">
      <c r="A177" s="472"/>
      <c r="B177" s="472"/>
      <c r="C177" s="472"/>
      <c r="D177" s="1476"/>
      <c r="E177" s="1442"/>
      <c r="F177" s="1466"/>
      <c r="G177" s="472"/>
      <c r="H177" s="1449"/>
      <c r="I177" s="410"/>
      <c r="J177" s="410"/>
      <c r="K177" s="410"/>
      <c r="L177" s="408"/>
      <c r="M177" s="410"/>
      <c r="N177" s="410"/>
      <c r="O177" s="408"/>
      <c r="P177" s="408"/>
      <c r="Q177" s="408"/>
      <c r="R177" s="408"/>
      <c r="S177" s="408"/>
      <c r="T177" s="408"/>
      <c r="U177" s="408"/>
      <c r="V177" s="408"/>
      <c r="W177" s="408"/>
      <c r="X177" s="408"/>
      <c r="Y177" s="408"/>
      <c r="Z177" s="408"/>
      <c r="AA177" s="408"/>
      <c r="AB177" s="408"/>
      <c r="AC177" s="408"/>
    </row>
    <row r="178" spans="1:29" ht="15.75" customHeight="1" x14ac:dyDescent="0.35">
      <c r="A178" s="472"/>
      <c r="B178" s="472"/>
      <c r="C178" s="472"/>
      <c r="D178" s="1476"/>
      <c r="E178" s="1442"/>
      <c r="F178" s="1466"/>
      <c r="G178" s="472"/>
      <c r="H178" s="1449"/>
      <c r="I178" s="410"/>
      <c r="J178" s="410"/>
      <c r="K178" s="410"/>
      <c r="L178" s="408"/>
      <c r="M178" s="410"/>
      <c r="N178" s="410"/>
      <c r="O178" s="408"/>
      <c r="P178" s="408"/>
      <c r="Q178" s="408"/>
      <c r="R178" s="408"/>
      <c r="S178" s="408"/>
      <c r="T178" s="408"/>
      <c r="U178" s="408"/>
      <c r="V178" s="408"/>
      <c r="W178" s="408"/>
      <c r="X178" s="408"/>
      <c r="Y178" s="408"/>
      <c r="Z178" s="408"/>
      <c r="AA178" s="408"/>
      <c r="AB178" s="408"/>
      <c r="AC178" s="408"/>
    </row>
    <row r="179" spans="1:29" ht="15.75" customHeight="1" x14ac:dyDescent="0.35">
      <c r="A179" s="472"/>
      <c r="B179" s="472"/>
      <c r="C179" s="472"/>
      <c r="D179" s="1476"/>
      <c r="E179" s="1442"/>
      <c r="F179" s="1466"/>
      <c r="G179" s="472"/>
      <c r="H179" s="1449"/>
      <c r="I179" s="410"/>
      <c r="J179" s="410"/>
      <c r="K179" s="410"/>
      <c r="L179" s="408"/>
      <c r="M179" s="410"/>
      <c r="N179" s="410"/>
      <c r="O179" s="408"/>
      <c r="P179" s="408"/>
      <c r="Q179" s="408"/>
      <c r="R179" s="408"/>
      <c r="S179" s="408"/>
      <c r="T179" s="408"/>
      <c r="U179" s="408"/>
      <c r="V179" s="408"/>
      <c r="W179" s="408"/>
      <c r="X179" s="408"/>
      <c r="Y179" s="408"/>
      <c r="Z179" s="408"/>
      <c r="AA179" s="408"/>
      <c r="AB179" s="408"/>
      <c r="AC179" s="408"/>
    </row>
    <row r="180" spans="1:29" ht="15.75" customHeight="1" x14ac:dyDescent="0.35">
      <c r="A180" s="472"/>
      <c r="B180" s="472"/>
      <c r="C180" s="472"/>
      <c r="D180" s="1476"/>
      <c r="E180" s="1442"/>
      <c r="F180" s="1466"/>
      <c r="G180" s="472"/>
      <c r="H180" s="1449"/>
      <c r="I180" s="410"/>
      <c r="J180" s="410"/>
      <c r="K180" s="410"/>
      <c r="L180" s="408"/>
      <c r="M180" s="410"/>
      <c r="N180" s="410"/>
      <c r="O180" s="408"/>
      <c r="P180" s="408"/>
      <c r="Q180" s="408"/>
      <c r="R180" s="408"/>
      <c r="S180" s="408"/>
      <c r="T180" s="408"/>
      <c r="U180" s="408"/>
      <c r="V180" s="408"/>
      <c r="W180" s="408"/>
      <c r="X180" s="408"/>
      <c r="Y180" s="408"/>
      <c r="Z180" s="408"/>
      <c r="AA180" s="408"/>
      <c r="AB180" s="408"/>
      <c r="AC180" s="408"/>
    </row>
    <row r="181" spans="1:29" ht="15.75" customHeight="1" x14ac:dyDescent="0.35">
      <c r="A181" s="472"/>
      <c r="B181" s="472"/>
      <c r="C181" s="472"/>
      <c r="D181" s="1476"/>
      <c r="E181" s="1442"/>
      <c r="F181" s="1466"/>
      <c r="G181" s="472"/>
      <c r="H181" s="1449"/>
      <c r="I181" s="410"/>
      <c r="J181" s="410"/>
      <c r="K181" s="410"/>
      <c r="L181" s="408"/>
      <c r="M181" s="410"/>
      <c r="N181" s="410"/>
      <c r="O181" s="408"/>
      <c r="P181" s="408"/>
      <c r="Q181" s="408"/>
      <c r="R181" s="408"/>
      <c r="S181" s="408"/>
      <c r="T181" s="408"/>
      <c r="U181" s="408"/>
      <c r="V181" s="408"/>
      <c r="W181" s="408"/>
      <c r="X181" s="408"/>
      <c r="Y181" s="408"/>
      <c r="Z181" s="408"/>
      <c r="AA181" s="408"/>
      <c r="AB181" s="408"/>
      <c r="AC181" s="408"/>
    </row>
    <row r="182" spans="1:29" ht="15.75" customHeight="1" x14ac:dyDescent="0.35">
      <c r="A182" s="472"/>
      <c r="B182" s="472"/>
      <c r="C182" s="472"/>
      <c r="D182" s="1476"/>
      <c r="E182" s="1442"/>
      <c r="F182" s="1466"/>
      <c r="G182" s="472"/>
      <c r="H182" s="1449"/>
      <c r="I182" s="410"/>
      <c r="J182" s="410"/>
      <c r="K182" s="410"/>
      <c r="L182" s="408"/>
      <c r="M182" s="410"/>
      <c r="N182" s="410"/>
      <c r="O182" s="408"/>
      <c r="P182" s="408"/>
      <c r="Q182" s="408"/>
      <c r="R182" s="408"/>
      <c r="S182" s="408"/>
      <c r="T182" s="408"/>
      <c r="U182" s="408"/>
      <c r="V182" s="408"/>
      <c r="W182" s="408"/>
      <c r="X182" s="408"/>
      <c r="Y182" s="408"/>
      <c r="Z182" s="408"/>
      <c r="AA182" s="408"/>
      <c r="AB182" s="408"/>
      <c r="AC182" s="408"/>
    </row>
    <row r="183" spans="1:29" ht="15.75" customHeight="1" x14ac:dyDescent="0.35">
      <c r="A183" s="472"/>
      <c r="B183" s="472"/>
      <c r="C183" s="472"/>
      <c r="D183" s="1476"/>
      <c r="E183" s="1442"/>
      <c r="F183" s="1466"/>
      <c r="G183" s="472"/>
      <c r="H183" s="1449"/>
      <c r="I183" s="410"/>
      <c r="J183" s="410"/>
      <c r="K183" s="410"/>
      <c r="L183" s="408"/>
      <c r="M183" s="410"/>
      <c r="N183" s="410"/>
      <c r="O183" s="408"/>
      <c r="P183" s="408"/>
      <c r="Q183" s="408"/>
      <c r="R183" s="408"/>
      <c r="S183" s="408"/>
      <c r="T183" s="408"/>
      <c r="U183" s="408"/>
      <c r="V183" s="408"/>
      <c r="W183" s="408"/>
      <c r="X183" s="408"/>
      <c r="Y183" s="408"/>
      <c r="Z183" s="408"/>
      <c r="AA183" s="408"/>
      <c r="AB183" s="408"/>
      <c r="AC183" s="408"/>
    </row>
    <row r="184" spans="1:29" ht="15.75" customHeight="1" x14ac:dyDescent="0.35">
      <c r="A184" s="472"/>
      <c r="B184" s="472"/>
      <c r="C184" s="472"/>
      <c r="D184" s="1476"/>
      <c r="E184" s="1442"/>
      <c r="F184" s="1466"/>
      <c r="G184" s="472"/>
      <c r="H184" s="1449"/>
      <c r="I184" s="410"/>
      <c r="J184" s="410"/>
      <c r="K184" s="410"/>
      <c r="L184" s="408"/>
      <c r="M184" s="410"/>
      <c r="N184" s="410"/>
      <c r="O184" s="408"/>
      <c r="P184" s="408"/>
      <c r="Q184" s="408"/>
      <c r="R184" s="408"/>
      <c r="S184" s="408"/>
      <c r="T184" s="408"/>
      <c r="U184" s="408"/>
      <c r="V184" s="408"/>
      <c r="W184" s="408"/>
      <c r="X184" s="408"/>
      <c r="Y184" s="408"/>
      <c r="Z184" s="408"/>
      <c r="AA184" s="408"/>
      <c r="AB184" s="408"/>
      <c r="AC184" s="408"/>
    </row>
    <row r="185" spans="1:29" ht="15.75" customHeight="1" x14ac:dyDescent="0.35">
      <c r="A185" s="472"/>
      <c r="B185" s="472"/>
      <c r="C185" s="472"/>
      <c r="D185" s="1476"/>
      <c r="E185" s="1442"/>
      <c r="F185" s="1466"/>
      <c r="G185" s="472"/>
      <c r="H185" s="1449"/>
      <c r="I185" s="410"/>
      <c r="J185" s="410"/>
      <c r="K185" s="410"/>
      <c r="L185" s="408"/>
      <c r="M185" s="410"/>
      <c r="N185" s="410"/>
      <c r="O185" s="408"/>
      <c r="P185" s="408"/>
      <c r="Q185" s="408"/>
      <c r="R185" s="408"/>
      <c r="S185" s="408"/>
      <c r="T185" s="408"/>
      <c r="U185" s="408"/>
      <c r="V185" s="408"/>
      <c r="W185" s="408"/>
      <c r="X185" s="408"/>
      <c r="Y185" s="408"/>
      <c r="Z185" s="408"/>
      <c r="AA185" s="408"/>
      <c r="AB185" s="408"/>
      <c r="AC185" s="408"/>
    </row>
    <row r="186" spans="1:29" ht="15.75" customHeight="1" x14ac:dyDescent="0.35">
      <c r="A186" s="472"/>
      <c r="B186" s="472"/>
      <c r="C186" s="472"/>
      <c r="D186" s="1476"/>
      <c r="E186" s="1442"/>
      <c r="F186" s="1466"/>
      <c r="G186" s="472"/>
      <c r="H186" s="1449"/>
      <c r="I186" s="410"/>
      <c r="J186" s="410"/>
      <c r="K186" s="410"/>
      <c r="L186" s="408"/>
      <c r="M186" s="410"/>
      <c r="N186" s="410"/>
      <c r="O186" s="408"/>
      <c r="P186" s="408"/>
      <c r="Q186" s="408"/>
      <c r="R186" s="408"/>
      <c r="S186" s="408"/>
      <c r="T186" s="408"/>
      <c r="U186" s="408"/>
      <c r="V186" s="408"/>
      <c r="W186" s="408"/>
      <c r="X186" s="408"/>
      <c r="Y186" s="408"/>
      <c r="Z186" s="408"/>
      <c r="AA186" s="408"/>
      <c r="AB186" s="408"/>
      <c r="AC186" s="408"/>
    </row>
    <row r="187" spans="1:29" ht="15.75" customHeight="1" x14ac:dyDescent="0.35">
      <c r="A187" s="472"/>
      <c r="B187" s="472"/>
      <c r="C187" s="472"/>
      <c r="D187" s="1476"/>
      <c r="E187" s="1442"/>
      <c r="F187" s="1466"/>
      <c r="G187" s="472"/>
      <c r="H187" s="1449"/>
      <c r="I187" s="410"/>
      <c r="J187" s="410"/>
      <c r="K187" s="410"/>
      <c r="L187" s="408"/>
      <c r="M187" s="410"/>
      <c r="N187" s="410"/>
      <c r="O187" s="408"/>
      <c r="P187" s="408"/>
      <c r="Q187" s="408"/>
      <c r="R187" s="408"/>
      <c r="S187" s="408"/>
      <c r="T187" s="408"/>
      <c r="U187" s="408"/>
      <c r="V187" s="408"/>
      <c r="W187" s="408"/>
      <c r="X187" s="408"/>
      <c r="Y187" s="408"/>
      <c r="Z187" s="408"/>
      <c r="AA187" s="408"/>
      <c r="AB187" s="408"/>
      <c r="AC187" s="408"/>
    </row>
    <row r="188" spans="1:29" ht="15.75" customHeight="1" x14ac:dyDescent="0.35">
      <c r="A188" s="472"/>
      <c r="B188" s="472"/>
      <c r="C188" s="472"/>
      <c r="D188" s="1476"/>
      <c r="E188" s="1442"/>
      <c r="F188" s="1466"/>
      <c r="G188" s="472"/>
      <c r="H188" s="1449"/>
      <c r="I188" s="410"/>
      <c r="J188" s="410"/>
      <c r="K188" s="410"/>
      <c r="L188" s="408"/>
      <c r="M188" s="410"/>
      <c r="N188" s="410"/>
      <c r="O188" s="408"/>
      <c r="P188" s="408"/>
      <c r="Q188" s="408"/>
      <c r="R188" s="408"/>
      <c r="S188" s="408"/>
      <c r="T188" s="408"/>
      <c r="U188" s="408"/>
      <c r="V188" s="408"/>
      <c r="W188" s="408"/>
      <c r="X188" s="408"/>
      <c r="Y188" s="408"/>
      <c r="Z188" s="408"/>
      <c r="AA188" s="408"/>
      <c r="AB188" s="408"/>
      <c r="AC188" s="408"/>
    </row>
    <row r="189" spans="1:29" ht="15.75" customHeight="1" x14ac:dyDescent="0.35">
      <c r="A189" s="472"/>
      <c r="B189" s="472"/>
      <c r="C189" s="472"/>
      <c r="D189" s="1476"/>
      <c r="E189" s="1442"/>
      <c r="F189" s="1466"/>
      <c r="G189" s="472"/>
      <c r="H189" s="1449"/>
      <c r="I189" s="410"/>
      <c r="J189" s="410"/>
      <c r="K189" s="410"/>
      <c r="L189" s="408"/>
      <c r="M189" s="410"/>
      <c r="N189" s="410"/>
      <c r="O189" s="408"/>
      <c r="P189" s="408"/>
      <c r="Q189" s="408"/>
      <c r="R189" s="408"/>
      <c r="S189" s="408"/>
      <c r="T189" s="408"/>
      <c r="U189" s="408"/>
      <c r="V189" s="408"/>
      <c r="W189" s="408"/>
      <c r="X189" s="408"/>
      <c r="Y189" s="408"/>
      <c r="Z189" s="408"/>
      <c r="AA189" s="408"/>
      <c r="AB189" s="408"/>
      <c r="AC189" s="408"/>
    </row>
    <row r="190" spans="1:29" ht="15.75" customHeight="1" x14ac:dyDescent="0.35">
      <c r="A190" s="472"/>
      <c r="B190" s="472"/>
      <c r="C190" s="472"/>
      <c r="D190" s="1476"/>
      <c r="E190" s="1442"/>
      <c r="F190" s="1466"/>
      <c r="G190" s="472"/>
      <c r="H190" s="1449"/>
      <c r="I190" s="410"/>
      <c r="J190" s="410"/>
      <c r="K190" s="410"/>
      <c r="L190" s="408"/>
      <c r="M190" s="410"/>
      <c r="N190" s="410"/>
      <c r="O190" s="408"/>
      <c r="P190" s="408"/>
      <c r="Q190" s="408"/>
      <c r="R190" s="408"/>
      <c r="S190" s="408"/>
      <c r="T190" s="408"/>
      <c r="U190" s="408"/>
      <c r="V190" s="408"/>
      <c r="W190" s="408"/>
      <c r="X190" s="408"/>
      <c r="Y190" s="408"/>
      <c r="Z190" s="408"/>
      <c r="AA190" s="408"/>
      <c r="AB190" s="408"/>
      <c r="AC190" s="408"/>
    </row>
    <row r="191" spans="1:29" ht="15.75" customHeight="1" x14ac:dyDescent="0.35">
      <c r="A191" s="472"/>
      <c r="B191" s="472"/>
      <c r="C191" s="472"/>
      <c r="D191" s="1476"/>
      <c r="E191" s="1442"/>
      <c r="F191" s="1466"/>
      <c r="G191" s="472"/>
      <c r="H191" s="1449"/>
      <c r="I191" s="410"/>
      <c r="J191" s="410"/>
      <c r="K191" s="410"/>
      <c r="L191" s="408"/>
      <c r="M191" s="410"/>
      <c r="N191" s="410"/>
      <c r="O191" s="408"/>
      <c r="P191" s="408"/>
      <c r="Q191" s="408"/>
      <c r="R191" s="408"/>
      <c r="S191" s="408"/>
      <c r="T191" s="408"/>
      <c r="U191" s="408"/>
      <c r="V191" s="408"/>
      <c r="W191" s="408"/>
      <c r="X191" s="408"/>
      <c r="Y191" s="408"/>
      <c r="Z191" s="408"/>
      <c r="AA191" s="408"/>
      <c r="AB191" s="408"/>
      <c r="AC191" s="408"/>
    </row>
    <row r="192" spans="1:29" ht="15.75" customHeight="1" x14ac:dyDescent="0.35">
      <c r="A192" s="472"/>
      <c r="B192" s="472"/>
      <c r="C192" s="472"/>
      <c r="D192" s="1476"/>
      <c r="E192" s="1442"/>
      <c r="F192" s="1466"/>
      <c r="G192" s="472"/>
      <c r="H192" s="1449"/>
      <c r="I192" s="410"/>
      <c r="J192" s="410"/>
      <c r="K192" s="410"/>
      <c r="L192" s="408"/>
      <c r="M192" s="410"/>
      <c r="N192" s="410"/>
      <c r="O192" s="408"/>
      <c r="P192" s="408"/>
      <c r="Q192" s="408"/>
      <c r="R192" s="408"/>
      <c r="S192" s="408"/>
      <c r="T192" s="408"/>
      <c r="U192" s="408"/>
      <c r="V192" s="408"/>
      <c r="W192" s="408"/>
      <c r="X192" s="408"/>
      <c r="Y192" s="408"/>
      <c r="Z192" s="408"/>
      <c r="AA192" s="408"/>
      <c r="AB192" s="408"/>
      <c r="AC192" s="408"/>
    </row>
    <row r="193" spans="1:29" ht="15.75" customHeight="1" x14ac:dyDescent="0.35">
      <c r="A193" s="472"/>
      <c r="B193" s="472"/>
      <c r="C193" s="472"/>
      <c r="D193" s="1476"/>
      <c r="E193" s="1442"/>
      <c r="F193" s="1466"/>
      <c r="G193" s="472"/>
      <c r="H193" s="1449"/>
      <c r="I193" s="410"/>
      <c r="J193" s="410"/>
      <c r="K193" s="410"/>
      <c r="L193" s="408"/>
      <c r="M193" s="410"/>
      <c r="N193" s="410"/>
      <c r="O193" s="408"/>
      <c r="P193" s="408"/>
      <c r="Q193" s="408"/>
      <c r="R193" s="408"/>
      <c r="S193" s="408"/>
      <c r="T193" s="408"/>
      <c r="U193" s="408"/>
      <c r="V193" s="408"/>
      <c r="W193" s="408"/>
      <c r="X193" s="408"/>
      <c r="Y193" s="408"/>
      <c r="Z193" s="408"/>
      <c r="AA193" s="408"/>
      <c r="AB193" s="408"/>
      <c r="AC193" s="408"/>
    </row>
    <row r="194" spans="1:29" ht="15.75" customHeight="1" x14ac:dyDescent="0.35">
      <c r="A194" s="472"/>
      <c r="B194" s="472"/>
      <c r="C194" s="472"/>
      <c r="D194" s="1476"/>
      <c r="E194" s="1442"/>
      <c r="F194" s="1466"/>
      <c r="G194" s="472"/>
      <c r="H194" s="1449"/>
      <c r="I194" s="410"/>
      <c r="J194" s="410"/>
      <c r="K194" s="410"/>
      <c r="L194" s="408"/>
      <c r="M194" s="410"/>
      <c r="N194" s="410"/>
      <c r="O194" s="408"/>
      <c r="P194" s="408"/>
      <c r="Q194" s="408"/>
      <c r="R194" s="408"/>
      <c r="S194" s="408"/>
      <c r="T194" s="408"/>
      <c r="U194" s="408"/>
      <c r="V194" s="408"/>
      <c r="W194" s="408"/>
      <c r="X194" s="408"/>
      <c r="Y194" s="408"/>
      <c r="Z194" s="408"/>
      <c r="AA194" s="408"/>
      <c r="AB194" s="408"/>
      <c r="AC194" s="408"/>
    </row>
    <row r="195" spans="1:29" ht="15.75" customHeight="1" x14ac:dyDescent="0.35">
      <c r="A195" s="472"/>
      <c r="B195" s="472"/>
      <c r="C195" s="472"/>
      <c r="D195" s="1476"/>
      <c r="E195" s="1442"/>
      <c r="F195" s="1466"/>
      <c r="G195" s="472"/>
      <c r="H195" s="1449"/>
      <c r="I195" s="410"/>
      <c r="J195" s="410"/>
      <c r="K195" s="410"/>
      <c r="L195" s="408"/>
      <c r="M195" s="410"/>
      <c r="N195" s="410"/>
      <c r="O195" s="408"/>
      <c r="P195" s="408"/>
      <c r="Q195" s="408"/>
      <c r="R195" s="408"/>
      <c r="S195" s="408"/>
      <c r="T195" s="408"/>
      <c r="U195" s="408"/>
      <c r="V195" s="408"/>
      <c r="W195" s="408"/>
      <c r="X195" s="408"/>
      <c r="Y195" s="408"/>
      <c r="Z195" s="408"/>
      <c r="AA195" s="408"/>
      <c r="AB195" s="408"/>
      <c r="AC195" s="408"/>
    </row>
    <row r="196" spans="1:29" ht="15.75" customHeight="1" x14ac:dyDescent="0.35">
      <c r="A196" s="472"/>
      <c r="B196" s="472"/>
      <c r="C196" s="472"/>
      <c r="D196" s="1476"/>
      <c r="E196" s="1442"/>
      <c r="F196" s="1466"/>
      <c r="G196" s="472"/>
      <c r="H196" s="1449"/>
      <c r="I196" s="410"/>
      <c r="J196" s="410"/>
      <c r="K196" s="410"/>
      <c r="L196" s="408"/>
      <c r="M196" s="410"/>
      <c r="N196" s="410"/>
      <c r="O196" s="408"/>
      <c r="P196" s="408"/>
      <c r="Q196" s="408"/>
      <c r="R196" s="408"/>
      <c r="S196" s="408"/>
      <c r="T196" s="408"/>
      <c r="U196" s="408"/>
      <c r="V196" s="408"/>
      <c r="W196" s="408"/>
      <c r="X196" s="408"/>
      <c r="Y196" s="408"/>
      <c r="Z196" s="408"/>
      <c r="AA196" s="408"/>
      <c r="AB196" s="408"/>
      <c r="AC196" s="408"/>
    </row>
    <row r="197" spans="1:29" ht="15.75" customHeight="1" x14ac:dyDescent="0.35">
      <c r="A197" s="472"/>
      <c r="B197" s="472"/>
      <c r="C197" s="472"/>
      <c r="D197" s="1476"/>
      <c r="E197" s="1442"/>
      <c r="F197" s="1466"/>
      <c r="G197" s="472"/>
      <c r="H197" s="1449"/>
      <c r="I197" s="410"/>
      <c r="J197" s="410"/>
      <c r="K197" s="410"/>
      <c r="L197" s="408"/>
      <c r="M197" s="410"/>
      <c r="N197" s="410"/>
      <c r="O197" s="408"/>
      <c r="P197" s="408"/>
      <c r="Q197" s="408"/>
      <c r="R197" s="408"/>
      <c r="S197" s="408"/>
      <c r="T197" s="408"/>
      <c r="U197" s="408"/>
      <c r="V197" s="408"/>
      <c r="W197" s="408"/>
      <c r="X197" s="408"/>
      <c r="Y197" s="408"/>
      <c r="Z197" s="408"/>
      <c r="AA197" s="408"/>
      <c r="AB197" s="408"/>
      <c r="AC197" s="408"/>
    </row>
    <row r="198" spans="1:29" ht="15.75" customHeight="1" x14ac:dyDescent="0.35">
      <c r="A198" s="472"/>
      <c r="B198" s="472"/>
      <c r="C198" s="472"/>
      <c r="D198" s="1476"/>
      <c r="E198" s="1442"/>
      <c r="F198" s="1466"/>
      <c r="G198" s="472"/>
      <c r="H198" s="1449"/>
      <c r="I198" s="410"/>
      <c r="J198" s="410"/>
      <c r="K198" s="410"/>
      <c r="L198" s="408"/>
      <c r="M198" s="410"/>
      <c r="N198" s="410"/>
      <c r="O198" s="408"/>
      <c r="P198" s="408"/>
      <c r="Q198" s="408"/>
      <c r="R198" s="408"/>
      <c r="S198" s="408"/>
      <c r="T198" s="408"/>
      <c r="U198" s="408"/>
      <c r="V198" s="408"/>
      <c r="W198" s="408"/>
      <c r="X198" s="408"/>
      <c r="Y198" s="408"/>
      <c r="Z198" s="408"/>
      <c r="AA198" s="408"/>
      <c r="AB198" s="408"/>
      <c r="AC198" s="408"/>
    </row>
    <row r="199" spans="1:29" ht="15.75" customHeight="1" x14ac:dyDescent="0.35">
      <c r="A199" s="472"/>
      <c r="B199" s="472"/>
      <c r="C199" s="472"/>
      <c r="D199" s="1476"/>
      <c r="E199" s="1442"/>
      <c r="F199" s="1466"/>
      <c r="G199" s="472"/>
      <c r="H199" s="1449"/>
      <c r="I199" s="410"/>
      <c r="J199" s="410"/>
      <c r="K199" s="410"/>
      <c r="L199" s="408"/>
      <c r="M199" s="410"/>
      <c r="N199" s="410"/>
      <c r="O199" s="408"/>
      <c r="P199" s="408"/>
      <c r="Q199" s="408"/>
      <c r="R199" s="408"/>
      <c r="S199" s="408"/>
      <c r="T199" s="408"/>
      <c r="U199" s="408"/>
      <c r="V199" s="408"/>
      <c r="W199" s="408"/>
      <c r="X199" s="408"/>
      <c r="Y199" s="408"/>
      <c r="Z199" s="408"/>
      <c r="AA199" s="408"/>
      <c r="AB199" s="408"/>
      <c r="AC199" s="408"/>
    </row>
    <row r="200" spans="1:29" ht="15.75" customHeight="1" x14ac:dyDescent="0.35">
      <c r="A200" s="472"/>
      <c r="B200" s="472"/>
      <c r="C200" s="472"/>
      <c r="D200" s="1476"/>
      <c r="E200" s="1442"/>
      <c r="F200" s="1466"/>
      <c r="G200" s="472"/>
      <c r="H200" s="1449"/>
      <c r="I200" s="410"/>
      <c r="J200" s="410"/>
      <c r="K200" s="410"/>
      <c r="L200" s="408"/>
      <c r="M200" s="410"/>
      <c r="N200" s="410"/>
      <c r="O200" s="408"/>
      <c r="P200" s="408"/>
      <c r="Q200" s="408"/>
      <c r="R200" s="408"/>
      <c r="S200" s="408"/>
      <c r="T200" s="408"/>
      <c r="U200" s="408"/>
      <c r="V200" s="408"/>
      <c r="W200" s="408"/>
      <c r="X200" s="408"/>
      <c r="Y200" s="408"/>
      <c r="Z200" s="408"/>
      <c r="AA200" s="408"/>
      <c r="AB200" s="408"/>
      <c r="AC200" s="408"/>
    </row>
    <row r="201" spans="1:29" ht="15.75" customHeight="1" x14ac:dyDescent="0.35">
      <c r="A201" s="472"/>
      <c r="B201" s="472"/>
      <c r="C201" s="472"/>
      <c r="D201" s="1476"/>
      <c r="E201" s="1442"/>
      <c r="F201" s="1466"/>
      <c r="G201" s="472"/>
      <c r="H201" s="1449"/>
      <c r="I201" s="410"/>
      <c r="J201" s="410"/>
      <c r="K201" s="410"/>
      <c r="L201" s="408"/>
      <c r="M201" s="410"/>
      <c r="N201" s="410"/>
      <c r="O201" s="408"/>
      <c r="P201" s="408"/>
      <c r="Q201" s="408"/>
      <c r="R201" s="408"/>
      <c r="S201" s="408"/>
      <c r="T201" s="408"/>
      <c r="U201" s="408"/>
      <c r="V201" s="408"/>
      <c r="W201" s="408"/>
      <c r="X201" s="408"/>
      <c r="Y201" s="408"/>
      <c r="Z201" s="408"/>
      <c r="AA201" s="408"/>
      <c r="AB201" s="408"/>
      <c r="AC201" s="408"/>
    </row>
    <row r="202" spans="1:29" ht="15.75" customHeight="1" x14ac:dyDescent="0.35">
      <c r="A202" s="472"/>
      <c r="B202" s="472"/>
      <c r="C202" s="472"/>
      <c r="D202" s="1476"/>
      <c r="E202" s="1442"/>
      <c r="F202" s="1466"/>
      <c r="G202" s="472"/>
      <c r="H202" s="1449"/>
      <c r="I202" s="410"/>
      <c r="J202" s="410"/>
      <c r="K202" s="410"/>
      <c r="L202" s="408"/>
      <c r="M202" s="410"/>
      <c r="N202" s="410"/>
      <c r="O202" s="408"/>
      <c r="P202" s="408"/>
      <c r="Q202" s="408"/>
      <c r="R202" s="408"/>
      <c r="S202" s="408"/>
      <c r="T202" s="408"/>
      <c r="U202" s="408"/>
      <c r="V202" s="408"/>
      <c r="W202" s="408"/>
      <c r="X202" s="408"/>
      <c r="Y202" s="408"/>
      <c r="Z202" s="408"/>
      <c r="AA202" s="408"/>
      <c r="AB202" s="408"/>
      <c r="AC202" s="408"/>
    </row>
    <row r="203" spans="1:29" ht="15.75" customHeight="1" x14ac:dyDescent="0.35">
      <c r="A203" s="472"/>
      <c r="B203" s="472"/>
      <c r="C203" s="472"/>
      <c r="D203" s="1476"/>
      <c r="E203" s="1442"/>
      <c r="F203" s="1466"/>
      <c r="G203" s="472"/>
      <c r="H203" s="1449"/>
      <c r="I203" s="410"/>
      <c r="J203" s="410"/>
      <c r="K203" s="410"/>
      <c r="L203" s="408"/>
      <c r="M203" s="410"/>
      <c r="N203" s="410"/>
      <c r="O203" s="408"/>
      <c r="P203" s="408"/>
      <c r="Q203" s="408"/>
      <c r="R203" s="408"/>
      <c r="S203" s="408"/>
      <c r="T203" s="408"/>
      <c r="U203" s="408"/>
      <c r="V203" s="408"/>
      <c r="W203" s="408"/>
      <c r="X203" s="408"/>
      <c r="Y203" s="408"/>
      <c r="Z203" s="408"/>
      <c r="AA203" s="408"/>
      <c r="AB203" s="408"/>
      <c r="AC203" s="408"/>
    </row>
    <row r="204" spans="1:29" ht="15.75" customHeight="1" x14ac:dyDescent="0.35">
      <c r="A204" s="472"/>
      <c r="B204" s="472"/>
      <c r="C204" s="472"/>
      <c r="D204" s="1476"/>
      <c r="E204" s="1442"/>
      <c r="F204" s="1466"/>
      <c r="G204" s="472"/>
      <c r="H204" s="1449"/>
      <c r="I204" s="410"/>
      <c r="J204" s="410"/>
      <c r="K204" s="410"/>
      <c r="L204" s="408"/>
      <c r="M204" s="410"/>
      <c r="N204" s="410"/>
      <c r="O204" s="408"/>
      <c r="P204" s="408"/>
      <c r="Q204" s="408"/>
      <c r="R204" s="408"/>
      <c r="S204" s="408"/>
      <c r="T204" s="408"/>
      <c r="U204" s="408"/>
      <c r="V204" s="408"/>
      <c r="W204" s="408"/>
      <c r="X204" s="408"/>
      <c r="Y204" s="408"/>
      <c r="Z204" s="408"/>
      <c r="AA204" s="408"/>
      <c r="AB204" s="408"/>
      <c r="AC204" s="408"/>
    </row>
    <row r="205" spans="1:29" ht="15.75" customHeight="1" x14ac:dyDescent="0.35">
      <c r="A205" s="472"/>
      <c r="B205" s="472"/>
      <c r="C205" s="472"/>
      <c r="D205" s="1476"/>
      <c r="E205" s="1442"/>
      <c r="F205" s="1466"/>
      <c r="G205" s="472"/>
      <c r="H205" s="1449"/>
      <c r="I205" s="410"/>
      <c r="J205" s="410"/>
      <c r="K205" s="410"/>
      <c r="L205" s="408"/>
      <c r="M205" s="410"/>
      <c r="N205" s="410"/>
      <c r="O205" s="408"/>
      <c r="P205" s="408"/>
      <c r="Q205" s="408"/>
      <c r="R205" s="408"/>
      <c r="S205" s="408"/>
      <c r="T205" s="408"/>
      <c r="U205" s="408"/>
      <c r="V205" s="408"/>
      <c r="W205" s="408"/>
      <c r="X205" s="408"/>
      <c r="Y205" s="408"/>
      <c r="Z205" s="408"/>
      <c r="AA205" s="408"/>
      <c r="AB205" s="408"/>
      <c r="AC205" s="408"/>
    </row>
    <row r="206" spans="1:29" ht="15.75" customHeight="1" x14ac:dyDescent="0.35">
      <c r="A206" s="472"/>
      <c r="B206" s="472"/>
      <c r="C206" s="472"/>
      <c r="D206" s="1476"/>
      <c r="E206" s="1442"/>
      <c r="F206" s="1466"/>
      <c r="G206" s="472"/>
      <c r="H206" s="1449"/>
      <c r="I206" s="410"/>
      <c r="J206" s="410"/>
      <c r="K206" s="410"/>
      <c r="L206" s="408"/>
      <c r="M206" s="410"/>
      <c r="N206" s="410"/>
      <c r="O206" s="408"/>
      <c r="P206" s="408"/>
      <c r="Q206" s="408"/>
      <c r="R206" s="408"/>
      <c r="S206" s="408"/>
      <c r="T206" s="408"/>
      <c r="U206" s="408"/>
      <c r="V206" s="408"/>
      <c r="W206" s="408"/>
      <c r="X206" s="408"/>
      <c r="Y206" s="408"/>
      <c r="Z206" s="408"/>
      <c r="AA206" s="408"/>
      <c r="AB206" s="408"/>
      <c r="AC206" s="408"/>
    </row>
    <row r="207" spans="1:29" ht="15.75" customHeight="1" x14ac:dyDescent="0.35">
      <c r="A207" s="472"/>
      <c r="B207" s="472"/>
      <c r="C207" s="472"/>
      <c r="D207" s="1476"/>
      <c r="E207" s="1442"/>
      <c r="F207" s="1466"/>
      <c r="G207" s="472"/>
      <c r="H207" s="1449"/>
      <c r="I207" s="410"/>
      <c r="J207" s="410"/>
      <c r="K207" s="410"/>
      <c r="L207" s="408"/>
      <c r="M207" s="410"/>
      <c r="N207" s="410"/>
      <c r="O207" s="408"/>
      <c r="P207" s="408"/>
      <c r="Q207" s="408"/>
      <c r="R207" s="408"/>
      <c r="S207" s="408"/>
      <c r="T207" s="408"/>
      <c r="U207" s="408"/>
      <c r="V207" s="408"/>
      <c r="W207" s="408"/>
      <c r="X207" s="408"/>
      <c r="Y207" s="408"/>
      <c r="Z207" s="408"/>
      <c r="AA207" s="408"/>
      <c r="AB207" s="408"/>
      <c r="AC207" s="408"/>
    </row>
    <row r="208" spans="1:29" ht="15.75" customHeight="1" x14ac:dyDescent="0.35">
      <c r="A208" s="472"/>
      <c r="B208" s="472"/>
      <c r="C208" s="472"/>
      <c r="D208" s="1476"/>
      <c r="E208" s="1442"/>
      <c r="F208" s="1466"/>
      <c r="G208" s="472"/>
      <c r="H208" s="1449"/>
      <c r="I208" s="410"/>
      <c r="J208" s="410"/>
      <c r="K208" s="410"/>
      <c r="L208" s="408"/>
      <c r="M208" s="410"/>
      <c r="N208" s="410"/>
      <c r="O208" s="408"/>
      <c r="P208" s="408"/>
      <c r="Q208" s="408"/>
      <c r="R208" s="408"/>
      <c r="S208" s="408"/>
      <c r="T208" s="408"/>
      <c r="U208" s="408"/>
      <c r="V208" s="408"/>
      <c r="W208" s="408"/>
      <c r="X208" s="408"/>
      <c r="Y208" s="408"/>
      <c r="Z208" s="408"/>
      <c r="AA208" s="408"/>
      <c r="AB208" s="408"/>
      <c r="AC208" s="408"/>
    </row>
    <row r="209" spans="1:29" ht="15.75" customHeight="1" x14ac:dyDescent="0.35">
      <c r="A209" s="472"/>
      <c r="B209" s="472"/>
      <c r="C209" s="472"/>
      <c r="D209" s="1476"/>
      <c r="E209" s="1442"/>
      <c r="F209" s="1466"/>
      <c r="G209" s="472"/>
      <c r="H209" s="1449"/>
      <c r="I209" s="410"/>
      <c r="J209" s="410"/>
      <c r="K209" s="410"/>
      <c r="L209" s="408"/>
      <c r="M209" s="410"/>
      <c r="N209" s="410"/>
      <c r="O209" s="408"/>
      <c r="P209" s="408"/>
      <c r="Q209" s="408"/>
      <c r="R209" s="408"/>
      <c r="S209" s="408"/>
      <c r="T209" s="408"/>
      <c r="U209" s="408"/>
      <c r="V209" s="408"/>
      <c r="W209" s="408"/>
      <c r="X209" s="408"/>
      <c r="Y209" s="408"/>
      <c r="Z209" s="408"/>
      <c r="AA209" s="408"/>
      <c r="AB209" s="408"/>
      <c r="AC209" s="408"/>
    </row>
    <row r="210" spans="1:29" ht="15.75" customHeight="1" x14ac:dyDescent="0.35">
      <c r="A210" s="472"/>
      <c r="B210" s="472"/>
      <c r="C210" s="472"/>
      <c r="D210" s="1476"/>
      <c r="E210" s="1442"/>
      <c r="F210" s="1466"/>
      <c r="G210" s="472"/>
      <c r="H210" s="1449"/>
      <c r="I210" s="410"/>
      <c r="J210" s="410"/>
      <c r="K210" s="410"/>
      <c r="L210" s="408"/>
      <c r="M210" s="410"/>
      <c r="N210" s="410"/>
      <c r="O210" s="408"/>
      <c r="P210" s="408"/>
      <c r="Q210" s="408"/>
      <c r="R210" s="408"/>
      <c r="S210" s="408"/>
      <c r="T210" s="408"/>
      <c r="U210" s="408"/>
      <c r="V210" s="408"/>
      <c r="W210" s="408"/>
      <c r="X210" s="408"/>
      <c r="Y210" s="408"/>
      <c r="Z210" s="408"/>
      <c r="AA210" s="408"/>
      <c r="AB210" s="408"/>
      <c r="AC210" s="408"/>
    </row>
    <row r="211" spans="1:29" ht="15.75" customHeight="1" x14ac:dyDescent="0.35">
      <c r="A211" s="472"/>
      <c r="B211" s="472"/>
      <c r="C211" s="472"/>
      <c r="D211" s="1476"/>
      <c r="E211" s="1442"/>
      <c r="F211" s="1466"/>
      <c r="G211" s="472"/>
      <c r="H211" s="1449"/>
      <c r="I211" s="410"/>
      <c r="J211" s="410"/>
      <c r="K211" s="410"/>
      <c r="L211" s="408"/>
      <c r="M211" s="410"/>
      <c r="N211" s="410"/>
      <c r="O211" s="408"/>
      <c r="P211" s="408"/>
      <c r="Q211" s="408"/>
      <c r="R211" s="408"/>
      <c r="S211" s="408"/>
      <c r="T211" s="408"/>
      <c r="U211" s="408"/>
      <c r="V211" s="408"/>
      <c r="W211" s="408"/>
      <c r="X211" s="408"/>
      <c r="Y211" s="408"/>
      <c r="Z211" s="408"/>
      <c r="AA211" s="408"/>
      <c r="AB211" s="408"/>
      <c r="AC211" s="408"/>
    </row>
    <row r="212" spans="1:29" ht="15.75" customHeight="1" x14ac:dyDescent="0.35">
      <c r="A212" s="472"/>
      <c r="B212" s="472"/>
      <c r="C212" s="472"/>
      <c r="D212" s="1476"/>
      <c r="E212" s="1442"/>
      <c r="F212" s="1466"/>
      <c r="G212" s="472"/>
      <c r="H212" s="1449"/>
      <c r="I212" s="410"/>
      <c r="J212" s="410"/>
      <c r="K212" s="410"/>
      <c r="L212" s="408"/>
      <c r="M212" s="410"/>
      <c r="N212" s="410"/>
      <c r="O212" s="408"/>
      <c r="P212" s="408"/>
      <c r="Q212" s="408"/>
      <c r="R212" s="408"/>
      <c r="S212" s="408"/>
      <c r="T212" s="408"/>
      <c r="U212" s="408"/>
      <c r="V212" s="408"/>
      <c r="W212" s="408"/>
      <c r="X212" s="408"/>
      <c r="Y212" s="408"/>
      <c r="Z212" s="408"/>
      <c r="AA212" s="408"/>
      <c r="AB212" s="408"/>
      <c r="AC212" s="408"/>
    </row>
    <row r="213" spans="1:29" ht="15.75" customHeight="1" x14ac:dyDescent="0.35">
      <c r="A213" s="472"/>
      <c r="B213" s="472"/>
      <c r="C213" s="472"/>
      <c r="D213" s="1476"/>
      <c r="E213" s="1442"/>
      <c r="F213" s="1466"/>
      <c r="G213" s="472"/>
      <c r="H213" s="1449"/>
      <c r="I213" s="410"/>
      <c r="J213" s="410"/>
      <c r="K213" s="410"/>
      <c r="L213" s="408"/>
      <c r="M213" s="410"/>
      <c r="N213" s="410"/>
      <c r="O213" s="408"/>
      <c r="P213" s="408"/>
      <c r="Q213" s="408"/>
      <c r="R213" s="408"/>
      <c r="S213" s="408"/>
      <c r="T213" s="408"/>
      <c r="U213" s="408"/>
      <c r="V213" s="408"/>
      <c r="W213" s="408"/>
      <c r="X213" s="408"/>
      <c r="Y213" s="408"/>
      <c r="Z213" s="408"/>
      <c r="AA213" s="408"/>
      <c r="AB213" s="408"/>
      <c r="AC213" s="408"/>
    </row>
    <row r="214" spans="1:29" ht="15.75" customHeight="1" x14ac:dyDescent="0.35">
      <c r="A214" s="472"/>
      <c r="B214" s="472"/>
      <c r="C214" s="472"/>
      <c r="D214" s="1476"/>
      <c r="E214" s="1442"/>
      <c r="F214" s="1466"/>
      <c r="G214" s="472"/>
      <c r="H214" s="1449"/>
      <c r="I214" s="410"/>
      <c r="J214" s="410"/>
      <c r="K214" s="410"/>
      <c r="L214" s="408"/>
      <c r="M214" s="410"/>
      <c r="N214" s="410"/>
      <c r="O214" s="408"/>
      <c r="P214" s="408"/>
      <c r="Q214" s="408"/>
      <c r="R214" s="408"/>
      <c r="S214" s="408"/>
      <c r="T214" s="408"/>
      <c r="U214" s="408"/>
      <c r="V214" s="408"/>
      <c r="W214" s="408"/>
      <c r="X214" s="408"/>
      <c r="Y214" s="408"/>
      <c r="Z214" s="408"/>
      <c r="AA214" s="408"/>
      <c r="AB214" s="408"/>
      <c r="AC214" s="408"/>
    </row>
    <row r="215" spans="1:29" ht="15.75" customHeight="1" x14ac:dyDescent="0.35">
      <c r="A215" s="472"/>
      <c r="B215" s="472"/>
      <c r="C215" s="472"/>
      <c r="D215" s="1476"/>
      <c r="E215" s="1442"/>
      <c r="F215" s="1466"/>
      <c r="G215" s="472"/>
      <c r="H215" s="1449"/>
      <c r="I215" s="410"/>
      <c r="J215" s="410"/>
      <c r="K215" s="410"/>
      <c r="L215" s="408"/>
      <c r="M215" s="410"/>
      <c r="N215" s="410"/>
      <c r="O215" s="408"/>
      <c r="P215" s="408"/>
      <c r="Q215" s="408"/>
      <c r="R215" s="408"/>
      <c r="S215" s="408"/>
      <c r="T215" s="408"/>
      <c r="U215" s="408"/>
      <c r="V215" s="408"/>
      <c r="W215" s="408"/>
      <c r="X215" s="408"/>
      <c r="Y215" s="408"/>
      <c r="Z215" s="408"/>
      <c r="AA215" s="408"/>
      <c r="AB215" s="408"/>
      <c r="AC215" s="408"/>
    </row>
    <row r="216" spans="1:29" ht="15.75" customHeight="1" x14ac:dyDescent="0.35">
      <c r="A216" s="472"/>
      <c r="B216" s="472"/>
      <c r="C216" s="472"/>
      <c r="D216" s="1476"/>
      <c r="E216" s="1442"/>
      <c r="F216" s="1466"/>
      <c r="G216" s="472"/>
      <c r="H216" s="1449"/>
      <c r="I216" s="410"/>
      <c r="J216" s="410"/>
      <c r="K216" s="410"/>
      <c r="L216" s="408"/>
      <c r="M216" s="410"/>
      <c r="N216" s="410"/>
      <c r="O216" s="408"/>
      <c r="P216" s="408"/>
      <c r="Q216" s="408"/>
      <c r="R216" s="408"/>
      <c r="S216" s="408"/>
      <c r="T216" s="408"/>
      <c r="U216" s="408"/>
      <c r="V216" s="408"/>
      <c r="W216" s="408"/>
      <c r="X216" s="408"/>
      <c r="Y216" s="408"/>
      <c r="Z216" s="408"/>
      <c r="AA216" s="408"/>
      <c r="AB216" s="408"/>
      <c r="AC216" s="408"/>
    </row>
    <row r="217" spans="1:29" ht="15.75" customHeight="1" x14ac:dyDescent="0.35">
      <c r="A217" s="472"/>
      <c r="B217" s="472"/>
      <c r="C217" s="472"/>
      <c r="D217" s="1476"/>
      <c r="E217" s="1442"/>
      <c r="F217" s="1466"/>
      <c r="G217" s="472"/>
      <c r="H217" s="1449"/>
      <c r="I217" s="410"/>
      <c r="J217" s="410"/>
      <c r="K217" s="410"/>
      <c r="L217" s="408"/>
      <c r="M217" s="410"/>
      <c r="N217" s="410"/>
      <c r="O217" s="408"/>
      <c r="P217" s="408"/>
      <c r="Q217" s="408"/>
      <c r="R217" s="408"/>
      <c r="S217" s="408"/>
      <c r="T217" s="408"/>
      <c r="U217" s="408"/>
      <c r="V217" s="408"/>
      <c r="W217" s="408"/>
      <c r="X217" s="408"/>
      <c r="Y217" s="408"/>
      <c r="Z217" s="408"/>
      <c r="AA217" s="408"/>
      <c r="AB217" s="408"/>
      <c r="AC217" s="408"/>
    </row>
    <row r="218" spans="1:29" ht="15.75" customHeight="1" x14ac:dyDescent="0.35">
      <c r="A218" s="472"/>
      <c r="B218" s="472"/>
      <c r="C218" s="472"/>
      <c r="D218" s="1476"/>
      <c r="E218" s="1442"/>
      <c r="F218" s="1466"/>
      <c r="G218" s="472"/>
      <c r="H218" s="1449"/>
      <c r="I218" s="410"/>
      <c r="J218" s="410"/>
      <c r="K218" s="410"/>
      <c r="L218" s="408"/>
      <c r="M218" s="410"/>
      <c r="N218" s="410"/>
      <c r="O218" s="408"/>
      <c r="P218" s="408"/>
      <c r="Q218" s="408"/>
      <c r="R218" s="408"/>
      <c r="S218" s="408"/>
      <c r="T218" s="408"/>
      <c r="U218" s="408"/>
      <c r="V218" s="408"/>
      <c r="W218" s="408"/>
      <c r="X218" s="408"/>
      <c r="Y218" s="408"/>
      <c r="Z218" s="408"/>
      <c r="AA218" s="408"/>
      <c r="AB218" s="408"/>
      <c r="AC218" s="408"/>
    </row>
    <row r="219" spans="1:29" ht="15.75" customHeight="1" x14ac:dyDescent="0.35">
      <c r="A219" s="472"/>
      <c r="B219" s="472"/>
      <c r="C219" s="472"/>
      <c r="D219" s="1476"/>
      <c r="E219" s="1442"/>
      <c r="F219" s="1466"/>
      <c r="G219" s="472"/>
      <c r="H219" s="1449"/>
      <c r="I219" s="410"/>
      <c r="J219" s="410"/>
      <c r="K219" s="410"/>
      <c r="L219" s="408"/>
      <c r="M219" s="410"/>
      <c r="N219" s="410"/>
      <c r="O219" s="408"/>
      <c r="P219" s="408"/>
      <c r="Q219" s="408"/>
      <c r="R219" s="408"/>
      <c r="S219" s="408"/>
      <c r="T219" s="408"/>
      <c r="U219" s="408"/>
      <c r="V219" s="408"/>
      <c r="W219" s="408"/>
      <c r="X219" s="408"/>
      <c r="Y219" s="408"/>
      <c r="Z219" s="408"/>
      <c r="AA219" s="408"/>
      <c r="AB219" s="408"/>
      <c r="AC219" s="408"/>
    </row>
    <row r="220" spans="1:29" ht="15.75" customHeight="1" x14ac:dyDescent="0.35">
      <c r="A220" s="472"/>
      <c r="B220" s="472"/>
      <c r="C220" s="472"/>
      <c r="D220" s="1476"/>
      <c r="E220" s="1442"/>
      <c r="F220" s="1466"/>
      <c r="G220" s="472"/>
      <c r="H220" s="1449"/>
      <c r="I220" s="410"/>
      <c r="J220" s="410"/>
      <c r="K220" s="410"/>
      <c r="L220" s="408"/>
      <c r="M220" s="410"/>
      <c r="N220" s="410"/>
      <c r="O220" s="408"/>
      <c r="P220" s="408"/>
      <c r="Q220" s="408"/>
      <c r="R220" s="408"/>
      <c r="S220" s="408"/>
      <c r="T220" s="408"/>
      <c r="U220" s="408"/>
      <c r="V220" s="408"/>
      <c r="W220" s="408"/>
      <c r="X220" s="408"/>
      <c r="Y220" s="408"/>
      <c r="Z220" s="408"/>
      <c r="AA220" s="408"/>
      <c r="AB220" s="408"/>
      <c r="AC220" s="408"/>
    </row>
    <row r="221" spans="1:29" ht="15.75" customHeight="1" x14ac:dyDescent="0.35">
      <c r="A221" s="472"/>
      <c r="B221" s="472"/>
      <c r="C221" s="472"/>
      <c r="D221" s="1476"/>
      <c r="E221" s="1442"/>
      <c r="F221" s="1466"/>
      <c r="G221" s="472"/>
      <c r="H221" s="1449"/>
      <c r="I221" s="410"/>
      <c r="J221" s="410"/>
      <c r="K221" s="410"/>
      <c r="L221" s="408"/>
      <c r="M221" s="410"/>
      <c r="N221" s="410"/>
      <c r="O221" s="408"/>
      <c r="P221" s="408"/>
      <c r="Q221" s="408"/>
      <c r="R221" s="408"/>
      <c r="S221" s="408"/>
      <c r="T221" s="408"/>
      <c r="U221" s="408"/>
      <c r="V221" s="408"/>
      <c r="W221" s="408"/>
      <c r="X221" s="408"/>
      <c r="Y221" s="408"/>
      <c r="Z221" s="408"/>
      <c r="AA221" s="408"/>
      <c r="AB221" s="408"/>
      <c r="AC221" s="408"/>
    </row>
    <row r="222" spans="1:29" ht="15.75" customHeight="1" x14ac:dyDescent="0.35">
      <c r="A222" s="472"/>
      <c r="B222" s="472"/>
      <c r="C222" s="472"/>
      <c r="D222" s="1476"/>
      <c r="E222" s="1442"/>
      <c r="F222" s="1466"/>
      <c r="G222" s="472"/>
      <c r="H222" s="1449"/>
      <c r="I222" s="410"/>
      <c r="J222" s="410"/>
      <c r="K222" s="410"/>
      <c r="L222" s="408"/>
      <c r="M222" s="410"/>
      <c r="N222" s="410"/>
      <c r="O222" s="408"/>
      <c r="P222" s="408"/>
      <c r="Q222" s="408"/>
      <c r="R222" s="408"/>
      <c r="S222" s="408"/>
      <c r="T222" s="408"/>
      <c r="U222" s="408"/>
      <c r="V222" s="408"/>
      <c r="W222" s="408"/>
      <c r="X222" s="408"/>
      <c r="Y222" s="408"/>
      <c r="Z222" s="408"/>
      <c r="AA222" s="408"/>
      <c r="AB222" s="408"/>
      <c r="AC222" s="408"/>
    </row>
    <row r="223" spans="1:29" ht="15.75" customHeight="1" x14ac:dyDescent="0.35">
      <c r="A223" s="472"/>
      <c r="B223" s="472"/>
      <c r="C223" s="472"/>
      <c r="D223" s="1476"/>
      <c r="E223" s="1442"/>
      <c r="F223" s="1466"/>
      <c r="G223" s="472"/>
      <c r="H223" s="1449"/>
      <c r="I223" s="410"/>
      <c r="J223" s="410"/>
      <c r="K223" s="410"/>
      <c r="L223" s="408"/>
      <c r="M223" s="410"/>
      <c r="N223" s="410"/>
      <c r="O223" s="408"/>
      <c r="P223" s="408"/>
      <c r="Q223" s="408"/>
      <c r="R223" s="408"/>
      <c r="S223" s="408"/>
      <c r="T223" s="408"/>
      <c r="U223" s="408"/>
      <c r="V223" s="408"/>
      <c r="W223" s="408"/>
      <c r="X223" s="408"/>
      <c r="Y223" s="408"/>
      <c r="Z223" s="408"/>
      <c r="AA223" s="408"/>
      <c r="AB223" s="408"/>
      <c r="AC223" s="408"/>
    </row>
    <row r="224" spans="1:29" ht="15.75" customHeight="1" x14ac:dyDescent="0.35">
      <c r="A224" s="472"/>
      <c r="B224" s="472"/>
      <c r="C224" s="472"/>
      <c r="D224" s="1476"/>
      <c r="E224" s="1442"/>
      <c r="F224" s="1466"/>
      <c r="G224" s="472"/>
      <c r="H224" s="1449"/>
      <c r="I224" s="410"/>
      <c r="J224" s="410"/>
      <c r="K224" s="410"/>
      <c r="L224" s="408"/>
      <c r="M224" s="410"/>
      <c r="N224" s="410"/>
      <c r="O224" s="408"/>
      <c r="P224" s="408"/>
      <c r="Q224" s="408"/>
      <c r="R224" s="408"/>
      <c r="S224" s="408"/>
      <c r="T224" s="408"/>
      <c r="U224" s="408"/>
      <c r="V224" s="408"/>
      <c r="W224" s="408"/>
      <c r="X224" s="408"/>
      <c r="Y224" s="408"/>
      <c r="Z224" s="408"/>
      <c r="AA224" s="408"/>
      <c r="AB224" s="408"/>
      <c r="AC224" s="408"/>
    </row>
    <row r="225" spans="1:29" ht="15.75" customHeight="1" x14ac:dyDescent="0.35">
      <c r="A225" s="472"/>
      <c r="B225" s="472"/>
      <c r="C225" s="472"/>
      <c r="D225" s="1476"/>
      <c r="E225" s="1442"/>
      <c r="F225" s="1466"/>
      <c r="G225" s="472"/>
      <c r="H225" s="1449"/>
      <c r="I225" s="410"/>
      <c r="J225" s="410"/>
      <c r="K225" s="410"/>
      <c r="L225" s="408"/>
      <c r="M225" s="410"/>
      <c r="N225" s="410"/>
      <c r="O225" s="408"/>
      <c r="P225" s="408"/>
      <c r="Q225" s="408"/>
      <c r="R225" s="408"/>
      <c r="S225" s="408"/>
      <c r="T225" s="408"/>
      <c r="U225" s="408"/>
      <c r="V225" s="408"/>
      <c r="W225" s="408"/>
      <c r="X225" s="408"/>
      <c r="Y225" s="408"/>
      <c r="Z225" s="408"/>
      <c r="AA225" s="408"/>
      <c r="AB225" s="408"/>
      <c r="AC225" s="408"/>
    </row>
    <row r="226" spans="1:29" ht="15.75" customHeight="1" x14ac:dyDescent="0.35">
      <c r="A226" s="472"/>
      <c r="B226" s="472"/>
      <c r="C226" s="472"/>
      <c r="D226" s="1476"/>
      <c r="E226" s="1442"/>
      <c r="F226" s="1466"/>
      <c r="G226" s="472"/>
      <c r="H226" s="1449"/>
      <c r="I226" s="410"/>
      <c r="J226" s="410"/>
      <c r="K226" s="410"/>
      <c r="L226" s="408"/>
      <c r="M226" s="410"/>
      <c r="N226" s="410"/>
      <c r="O226" s="408"/>
      <c r="P226" s="408"/>
      <c r="Q226" s="408"/>
      <c r="R226" s="408"/>
      <c r="S226" s="408"/>
      <c r="T226" s="408"/>
      <c r="U226" s="408"/>
      <c r="V226" s="408"/>
      <c r="W226" s="408"/>
      <c r="X226" s="408"/>
      <c r="Y226" s="408"/>
      <c r="Z226" s="408"/>
      <c r="AA226" s="408"/>
      <c r="AB226" s="408"/>
      <c r="AC226" s="408"/>
    </row>
    <row r="227" spans="1:29" ht="15.75" customHeight="1" x14ac:dyDescent="0.35">
      <c r="A227" s="472"/>
      <c r="B227" s="472"/>
      <c r="C227" s="472"/>
      <c r="D227" s="1476"/>
      <c r="E227" s="1442"/>
      <c r="F227" s="1466"/>
      <c r="G227" s="472"/>
      <c r="H227" s="1449"/>
      <c r="I227" s="410"/>
      <c r="J227" s="410"/>
      <c r="K227" s="410"/>
      <c r="L227" s="408"/>
      <c r="M227" s="410"/>
      <c r="N227" s="410"/>
      <c r="O227" s="408"/>
      <c r="P227" s="408"/>
      <c r="Q227" s="408"/>
      <c r="R227" s="408"/>
      <c r="S227" s="408"/>
      <c r="T227" s="408"/>
      <c r="U227" s="408"/>
      <c r="V227" s="408"/>
      <c r="W227" s="408"/>
      <c r="X227" s="408"/>
      <c r="Y227" s="408"/>
      <c r="Z227" s="408"/>
      <c r="AA227" s="408"/>
      <c r="AB227" s="408"/>
      <c r="AC227" s="408"/>
    </row>
    <row r="228" spans="1:29" ht="15.75" customHeight="1" x14ac:dyDescent="0.35">
      <c r="A228" s="472"/>
      <c r="B228" s="472"/>
      <c r="C228" s="472"/>
      <c r="D228" s="1476"/>
      <c r="E228" s="1442"/>
      <c r="F228" s="1466"/>
      <c r="G228" s="472"/>
      <c r="H228" s="1449"/>
      <c r="I228" s="410"/>
      <c r="J228" s="410"/>
      <c r="K228" s="410"/>
      <c r="L228" s="408"/>
      <c r="M228" s="410"/>
      <c r="N228" s="410"/>
      <c r="O228" s="408"/>
      <c r="P228" s="408"/>
      <c r="Q228" s="408"/>
      <c r="R228" s="408"/>
      <c r="S228" s="408"/>
      <c r="T228" s="408"/>
      <c r="U228" s="408"/>
      <c r="V228" s="408"/>
      <c r="W228" s="408"/>
      <c r="X228" s="408"/>
      <c r="Y228" s="408"/>
      <c r="Z228" s="408"/>
      <c r="AA228" s="408"/>
      <c r="AB228" s="408"/>
      <c r="AC228" s="408"/>
    </row>
    <row r="229" spans="1:29" ht="15.75" customHeight="1" x14ac:dyDescent="0.35">
      <c r="A229" s="472"/>
      <c r="B229" s="472"/>
      <c r="C229" s="472"/>
      <c r="D229" s="1476"/>
      <c r="E229" s="1442"/>
      <c r="F229" s="1466"/>
      <c r="G229" s="472"/>
      <c r="H229" s="1449"/>
      <c r="I229" s="410"/>
      <c r="J229" s="410"/>
      <c r="K229" s="410"/>
      <c r="L229" s="408"/>
      <c r="M229" s="410"/>
      <c r="N229" s="410"/>
      <c r="O229" s="408"/>
      <c r="P229" s="408"/>
      <c r="Q229" s="408"/>
      <c r="R229" s="408"/>
      <c r="S229" s="408"/>
      <c r="T229" s="408"/>
      <c r="U229" s="408"/>
      <c r="V229" s="408"/>
      <c r="W229" s="408"/>
      <c r="X229" s="408"/>
      <c r="Y229" s="408"/>
      <c r="Z229" s="408"/>
      <c r="AA229" s="408"/>
      <c r="AB229" s="408"/>
      <c r="AC229" s="408"/>
    </row>
    <row r="230" spans="1:29" ht="15.75" customHeight="1" x14ac:dyDescent="0.35">
      <c r="A230" s="472"/>
      <c r="B230" s="472"/>
      <c r="C230" s="472"/>
      <c r="D230" s="1476"/>
      <c r="E230" s="1442"/>
      <c r="F230" s="1466"/>
      <c r="G230" s="472"/>
      <c r="H230" s="1449"/>
      <c r="I230" s="410"/>
      <c r="J230" s="410"/>
      <c r="K230" s="410"/>
      <c r="L230" s="408"/>
      <c r="M230" s="410"/>
      <c r="N230" s="410"/>
      <c r="O230" s="408"/>
      <c r="P230" s="408"/>
      <c r="Q230" s="408"/>
      <c r="R230" s="408"/>
      <c r="S230" s="408"/>
      <c r="T230" s="408"/>
      <c r="U230" s="408"/>
      <c r="V230" s="408"/>
      <c r="W230" s="408"/>
      <c r="X230" s="408"/>
      <c r="Y230" s="408"/>
      <c r="Z230" s="408"/>
      <c r="AA230" s="408"/>
      <c r="AB230" s="408"/>
      <c r="AC230" s="408"/>
    </row>
    <row r="231" spans="1:29" ht="15.75" customHeight="1" x14ac:dyDescent="0.35">
      <c r="A231" s="472"/>
      <c r="B231" s="472"/>
      <c r="C231" s="472"/>
      <c r="D231" s="1476"/>
      <c r="E231" s="1442"/>
      <c r="F231" s="1466"/>
      <c r="G231" s="472"/>
      <c r="H231" s="1449"/>
      <c r="I231" s="410"/>
      <c r="J231" s="410"/>
      <c r="K231" s="410"/>
      <c r="L231" s="408"/>
      <c r="M231" s="410"/>
      <c r="N231" s="410"/>
      <c r="O231" s="408"/>
      <c r="P231" s="408"/>
      <c r="Q231" s="408"/>
      <c r="R231" s="408"/>
      <c r="S231" s="408"/>
      <c r="T231" s="408"/>
      <c r="U231" s="408"/>
      <c r="V231" s="408"/>
      <c r="W231" s="408"/>
      <c r="X231" s="408"/>
      <c r="Y231" s="408"/>
      <c r="Z231" s="408"/>
      <c r="AA231" s="408"/>
      <c r="AB231" s="408"/>
      <c r="AC231" s="408"/>
    </row>
    <row r="232" spans="1:29" ht="15.75" customHeight="1" x14ac:dyDescent="0.35">
      <c r="A232" s="472"/>
      <c r="B232" s="472"/>
      <c r="C232" s="472"/>
      <c r="D232" s="1476"/>
      <c r="E232" s="1442"/>
      <c r="F232" s="1466"/>
      <c r="G232" s="472"/>
      <c r="H232" s="1449"/>
      <c r="I232" s="410"/>
      <c r="J232" s="410"/>
      <c r="K232" s="410"/>
      <c r="L232" s="408"/>
      <c r="M232" s="410"/>
      <c r="N232" s="410"/>
      <c r="O232" s="408"/>
      <c r="P232" s="408"/>
      <c r="Q232" s="408"/>
      <c r="R232" s="408"/>
      <c r="S232" s="408"/>
      <c r="T232" s="408"/>
      <c r="U232" s="408"/>
      <c r="V232" s="408"/>
      <c r="W232" s="408"/>
      <c r="X232" s="408"/>
      <c r="Y232" s="408"/>
      <c r="Z232" s="408"/>
      <c r="AA232" s="408"/>
      <c r="AB232" s="408"/>
      <c r="AC232" s="408"/>
    </row>
    <row r="233" spans="1:29" ht="15.75" customHeight="1" x14ac:dyDescent="0.35">
      <c r="A233" s="472"/>
      <c r="B233" s="472"/>
      <c r="C233" s="472"/>
      <c r="D233" s="1476"/>
      <c r="E233" s="1442"/>
      <c r="F233" s="1466"/>
      <c r="G233" s="472"/>
      <c r="H233" s="1449"/>
      <c r="I233" s="410"/>
      <c r="J233" s="410"/>
      <c r="K233" s="410"/>
      <c r="L233" s="408"/>
      <c r="M233" s="410"/>
      <c r="N233" s="410"/>
      <c r="O233" s="408"/>
      <c r="P233" s="408"/>
      <c r="Q233" s="408"/>
      <c r="R233" s="408"/>
      <c r="S233" s="408"/>
      <c r="T233" s="408"/>
      <c r="U233" s="408"/>
      <c r="V233" s="408"/>
      <c r="W233" s="408"/>
      <c r="X233" s="408"/>
      <c r="Y233" s="408"/>
      <c r="Z233" s="408"/>
      <c r="AA233" s="408"/>
      <c r="AB233" s="408"/>
      <c r="AC233" s="408"/>
    </row>
    <row r="234" spans="1:29" ht="15.75" customHeight="1" x14ac:dyDescent="0.35">
      <c r="A234" s="472"/>
      <c r="B234" s="472"/>
      <c r="C234" s="472"/>
      <c r="D234" s="1476"/>
      <c r="E234" s="1442"/>
      <c r="F234" s="1466"/>
      <c r="G234" s="472"/>
      <c r="H234" s="1449"/>
      <c r="I234" s="410"/>
      <c r="J234" s="410"/>
      <c r="K234" s="410"/>
      <c r="L234" s="408"/>
      <c r="M234" s="410"/>
      <c r="N234" s="410"/>
      <c r="O234" s="408"/>
      <c r="P234" s="408"/>
      <c r="Q234" s="408"/>
      <c r="R234" s="408"/>
      <c r="S234" s="408"/>
      <c r="T234" s="408"/>
      <c r="U234" s="408"/>
      <c r="V234" s="408"/>
      <c r="W234" s="408"/>
      <c r="X234" s="408"/>
      <c r="Y234" s="408"/>
      <c r="Z234" s="408"/>
      <c r="AA234" s="408"/>
      <c r="AB234" s="408"/>
      <c r="AC234" s="408"/>
    </row>
    <row r="235" spans="1:29" ht="15.75" customHeight="1" x14ac:dyDescent="0.35">
      <c r="A235" s="472"/>
      <c r="B235" s="472"/>
      <c r="C235" s="472"/>
      <c r="D235" s="1476"/>
      <c r="E235" s="1442"/>
      <c r="F235" s="1466"/>
      <c r="G235" s="472"/>
      <c r="H235" s="1449"/>
      <c r="I235" s="410"/>
      <c r="J235" s="410"/>
      <c r="K235" s="410"/>
      <c r="L235" s="408"/>
      <c r="M235" s="410"/>
      <c r="N235" s="410"/>
      <c r="O235" s="408"/>
      <c r="P235" s="408"/>
      <c r="Q235" s="408"/>
      <c r="R235" s="408"/>
      <c r="S235" s="408"/>
      <c r="T235" s="408"/>
      <c r="U235" s="408"/>
      <c r="V235" s="408"/>
      <c r="W235" s="408"/>
      <c r="X235" s="408"/>
      <c r="Y235" s="408"/>
      <c r="Z235" s="408"/>
      <c r="AA235" s="408"/>
      <c r="AB235" s="408"/>
      <c r="AC235" s="408"/>
    </row>
    <row r="236" spans="1:29" ht="15.75" customHeight="1" x14ac:dyDescent="0.35">
      <c r="A236" s="472"/>
      <c r="B236" s="472"/>
      <c r="C236" s="472"/>
      <c r="D236" s="1476"/>
      <c r="E236" s="1442"/>
      <c r="F236" s="1466"/>
      <c r="G236" s="472"/>
      <c r="H236" s="1449"/>
      <c r="I236" s="410"/>
      <c r="J236" s="410"/>
      <c r="K236" s="410"/>
      <c r="L236" s="408"/>
      <c r="M236" s="410"/>
      <c r="N236" s="410"/>
      <c r="O236" s="408"/>
      <c r="P236" s="408"/>
      <c r="Q236" s="408"/>
      <c r="R236" s="408"/>
      <c r="S236" s="408"/>
      <c r="T236" s="408"/>
      <c r="U236" s="408"/>
      <c r="V236" s="408"/>
      <c r="W236" s="408"/>
      <c r="X236" s="408"/>
      <c r="Y236" s="408"/>
      <c r="Z236" s="408"/>
      <c r="AA236" s="408"/>
      <c r="AB236" s="408"/>
      <c r="AC236" s="408"/>
    </row>
    <row r="237" spans="1:29" ht="15.75" customHeight="1" x14ac:dyDescent="0.35">
      <c r="A237" s="472"/>
      <c r="B237" s="472"/>
      <c r="C237" s="472"/>
      <c r="D237" s="1476"/>
      <c r="E237" s="1442"/>
      <c r="F237" s="1466"/>
      <c r="G237" s="472"/>
      <c r="H237" s="1449"/>
      <c r="I237" s="410"/>
      <c r="J237" s="410"/>
      <c r="K237" s="410"/>
      <c r="L237" s="408"/>
      <c r="M237" s="410"/>
      <c r="N237" s="410"/>
      <c r="O237" s="408"/>
      <c r="P237" s="408"/>
      <c r="Q237" s="408"/>
      <c r="R237" s="408"/>
      <c r="S237" s="408"/>
      <c r="T237" s="408"/>
      <c r="U237" s="408"/>
      <c r="V237" s="408"/>
      <c r="W237" s="408"/>
      <c r="X237" s="408"/>
      <c r="Y237" s="408"/>
      <c r="Z237" s="408"/>
      <c r="AA237" s="408"/>
      <c r="AB237" s="408"/>
      <c r="AC237" s="408"/>
    </row>
    <row r="238" spans="1:29" ht="15.75" customHeight="1" x14ac:dyDescent="0.35">
      <c r="A238" s="472"/>
      <c r="B238" s="472"/>
      <c r="C238" s="472"/>
      <c r="D238" s="1476"/>
      <c r="E238" s="1442"/>
      <c r="F238" s="1466"/>
      <c r="G238" s="472"/>
      <c r="H238" s="1449"/>
      <c r="I238" s="410"/>
      <c r="J238" s="410"/>
      <c r="K238" s="410"/>
      <c r="L238" s="408"/>
      <c r="M238" s="410"/>
      <c r="N238" s="410"/>
      <c r="O238" s="408"/>
      <c r="P238" s="408"/>
      <c r="Q238" s="408"/>
      <c r="R238" s="408"/>
      <c r="S238" s="408"/>
      <c r="T238" s="408"/>
      <c r="U238" s="408"/>
      <c r="V238" s="408"/>
      <c r="W238" s="408"/>
      <c r="X238" s="408"/>
      <c r="Y238" s="408"/>
      <c r="Z238" s="408"/>
      <c r="AA238" s="408"/>
      <c r="AB238" s="408"/>
      <c r="AC238" s="408"/>
    </row>
    <row r="239" spans="1:29" ht="15.75" customHeight="1" x14ac:dyDescent="0.35">
      <c r="A239" s="472"/>
      <c r="B239" s="472"/>
      <c r="C239" s="472"/>
      <c r="D239" s="1476"/>
      <c r="E239" s="1442"/>
      <c r="F239" s="1466"/>
      <c r="G239" s="472"/>
      <c r="H239" s="1449"/>
      <c r="I239" s="410"/>
      <c r="J239" s="410"/>
      <c r="K239" s="410"/>
      <c r="L239" s="408"/>
      <c r="M239" s="410"/>
      <c r="N239" s="410"/>
      <c r="O239" s="408"/>
      <c r="P239" s="408"/>
      <c r="Q239" s="408"/>
      <c r="R239" s="408"/>
      <c r="S239" s="408"/>
      <c r="T239" s="408"/>
      <c r="U239" s="408"/>
      <c r="V239" s="408"/>
      <c r="W239" s="408"/>
      <c r="X239" s="408"/>
      <c r="Y239" s="408"/>
      <c r="Z239" s="408"/>
      <c r="AA239" s="408"/>
      <c r="AB239" s="408"/>
      <c r="AC239" s="408"/>
    </row>
    <row r="240" spans="1:29" ht="15.75" customHeight="1" x14ac:dyDescent="0.35">
      <c r="A240" s="472"/>
      <c r="B240" s="472"/>
      <c r="C240" s="472"/>
      <c r="D240" s="1476"/>
      <c r="E240" s="1442"/>
      <c r="F240" s="1466"/>
      <c r="G240" s="472"/>
      <c r="H240" s="1449"/>
      <c r="I240" s="410"/>
      <c r="J240" s="410"/>
      <c r="K240" s="410"/>
      <c r="L240" s="408"/>
      <c r="M240" s="410"/>
      <c r="N240" s="410"/>
      <c r="O240" s="408"/>
      <c r="P240" s="408"/>
      <c r="Q240" s="408"/>
      <c r="R240" s="408"/>
      <c r="S240" s="408"/>
      <c r="T240" s="408"/>
      <c r="U240" s="408"/>
      <c r="V240" s="408"/>
      <c r="W240" s="408"/>
      <c r="X240" s="408"/>
      <c r="Y240" s="408"/>
      <c r="Z240" s="408"/>
      <c r="AA240" s="408"/>
      <c r="AB240" s="408"/>
      <c r="AC240" s="408"/>
    </row>
    <row r="241" spans="1:29" ht="15.75" customHeight="1" x14ac:dyDescent="0.35">
      <c r="A241" s="472"/>
      <c r="B241" s="472"/>
      <c r="C241" s="472"/>
      <c r="D241" s="1476"/>
      <c r="E241" s="1442"/>
      <c r="F241" s="1466"/>
      <c r="G241" s="472"/>
      <c r="H241" s="1449"/>
      <c r="I241" s="410"/>
      <c r="J241" s="410"/>
      <c r="K241" s="410"/>
      <c r="L241" s="408"/>
      <c r="M241" s="410"/>
      <c r="N241" s="410"/>
      <c r="O241" s="408"/>
      <c r="P241" s="408"/>
      <c r="Q241" s="408"/>
      <c r="R241" s="408"/>
      <c r="S241" s="408"/>
      <c r="T241" s="408"/>
      <c r="U241" s="408"/>
      <c r="V241" s="408"/>
      <c r="W241" s="408"/>
      <c r="X241" s="408"/>
      <c r="Y241" s="408"/>
      <c r="Z241" s="408"/>
      <c r="AA241" s="408"/>
      <c r="AB241" s="408"/>
      <c r="AC241" s="408"/>
    </row>
    <row r="242" spans="1:29" ht="15.75" customHeight="1" x14ac:dyDescent="0.35">
      <c r="A242" s="472"/>
      <c r="B242" s="472"/>
      <c r="C242" s="472"/>
      <c r="D242" s="1476"/>
      <c r="E242" s="1442"/>
      <c r="F242" s="1466"/>
      <c r="G242" s="472"/>
      <c r="H242" s="1449"/>
      <c r="I242" s="410"/>
      <c r="J242" s="410"/>
      <c r="K242" s="410"/>
      <c r="L242" s="408"/>
      <c r="M242" s="410"/>
      <c r="N242" s="410"/>
      <c r="O242" s="408"/>
      <c r="P242" s="408"/>
      <c r="Q242" s="408"/>
      <c r="R242" s="408"/>
      <c r="S242" s="408"/>
      <c r="T242" s="408"/>
      <c r="U242" s="408"/>
      <c r="V242" s="408"/>
      <c r="W242" s="408"/>
      <c r="X242" s="408"/>
      <c r="Y242" s="408"/>
      <c r="Z242" s="408"/>
      <c r="AA242" s="408"/>
      <c r="AB242" s="408"/>
      <c r="AC242" s="408"/>
    </row>
    <row r="243" spans="1:29" ht="15.75" customHeight="1" x14ac:dyDescent="0.35">
      <c r="A243" s="472"/>
      <c r="B243" s="472"/>
      <c r="C243" s="472"/>
      <c r="D243" s="1476"/>
      <c r="E243" s="1442"/>
      <c r="F243" s="1466"/>
      <c r="G243" s="472"/>
      <c r="H243" s="1449"/>
      <c r="I243" s="410"/>
      <c r="J243" s="410"/>
      <c r="K243" s="410"/>
      <c r="L243" s="408"/>
      <c r="M243" s="410"/>
      <c r="N243" s="410"/>
      <c r="O243" s="408"/>
      <c r="P243" s="408"/>
      <c r="Q243" s="408"/>
      <c r="R243" s="408"/>
      <c r="S243" s="408"/>
      <c r="T243" s="408"/>
      <c r="U243" s="408"/>
      <c r="V243" s="408"/>
      <c r="W243" s="408"/>
      <c r="X243" s="408"/>
      <c r="Y243" s="408"/>
      <c r="Z243" s="408"/>
      <c r="AA243" s="408"/>
      <c r="AB243" s="408"/>
      <c r="AC243" s="408"/>
    </row>
    <row r="244" spans="1:29" ht="15.75" customHeight="1" x14ac:dyDescent="0.35">
      <c r="A244" s="472"/>
      <c r="B244" s="472"/>
      <c r="C244" s="472"/>
      <c r="D244" s="1476"/>
      <c r="E244" s="1442"/>
      <c r="F244" s="1466"/>
      <c r="G244" s="472"/>
      <c r="H244" s="1449"/>
      <c r="I244" s="410"/>
      <c r="J244" s="410"/>
      <c r="K244" s="410"/>
      <c r="L244" s="408"/>
      <c r="M244" s="410"/>
      <c r="N244" s="410"/>
      <c r="O244" s="408"/>
      <c r="P244" s="408"/>
      <c r="Q244" s="408"/>
      <c r="R244" s="408"/>
      <c r="S244" s="408"/>
      <c r="T244" s="408"/>
      <c r="U244" s="408"/>
      <c r="V244" s="408"/>
      <c r="W244" s="408"/>
      <c r="X244" s="408"/>
      <c r="Y244" s="408"/>
      <c r="Z244" s="408"/>
      <c r="AA244" s="408"/>
      <c r="AB244" s="408"/>
      <c r="AC244" s="408"/>
    </row>
    <row r="245" spans="1:29" ht="15.75" customHeight="1" x14ac:dyDescent="0.35">
      <c r="A245" s="472"/>
      <c r="B245" s="472"/>
      <c r="C245" s="472"/>
      <c r="D245" s="1476"/>
      <c r="E245" s="1442"/>
      <c r="F245" s="1466"/>
      <c r="G245" s="472"/>
      <c r="H245" s="1449"/>
      <c r="I245" s="410"/>
      <c r="J245" s="410"/>
      <c r="K245" s="410"/>
      <c r="L245" s="408"/>
      <c r="M245" s="410"/>
      <c r="N245" s="410"/>
      <c r="O245" s="408"/>
      <c r="P245" s="408"/>
      <c r="Q245" s="408"/>
      <c r="R245" s="408"/>
      <c r="S245" s="408"/>
      <c r="T245" s="408"/>
      <c r="U245" s="408"/>
      <c r="V245" s="408"/>
      <c r="W245" s="408"/>
      <c r="X245" s="408"/>
      <c r="Y245" s="408"/>
      <c r="Z245" s="408"/>
      <c r="AA245" s="408"/>
      <c r="AB245" s="408"/>
      <c r="AC245" s="408"/>
    </row>
    <row r="246" spans="1:29" ht="15.75" customHeight="1" x14ac:dyDescent="0.35">
      <c r="A246" s="472"/>
      <c r="B246" s="472"/>
      <c r="C246" s="472"/>
      <c r="D246" s="1476"/>
      <c r="E246" s="1442"/>
      <c r="F246" s="1466"/>
      <c r="G246" s="472"/>
      <c r="H246" s="1449"/>
      <c r="I246" s="410"/>
      <c r="J246" s="410"/>
      <c r="K246" s="410"/>
      <c r="L246" s="408"/>
      <c r="M246" s="410"/>
      <c r="N246" s="410"/>
      <c r="O246" s="408"/>
      <c r="P246" s="408"/>
      <c r="Q246" s="408"/>
      <c r="R246" s="408"/>
      <c r="S246" s="408"/>
      <c r="T246" s="408"/>
      <c r="U246" s="408"/>
      <c r="V246" s="408"/>
      <c r="W246" s="408"/>
      <c r="X246" s="408"/>
      <c r="Y246" s="408"/>
      <c r="Z246" s="408"/>
      <c r="AA246" s="408"/>
      <c r="AB246" s="408"/>
      <c r="AC246" s="408"/>
    </row>
    <row r="247" spans="1:29" ht="15.75" customHeight="1" x14ac:dyDescent="0.35">
      <c r="A247" s="472"/>
      <c r="B247" s="472"/>
      <c r="C247" s="472"/>
      <c r="D247" s="1476"/>
      <c r="E247" s="1442"/>
      <c r="F247" s="1466"/>
      <c r="G247" s="472"/>
      <c r="H247" s="1449"/>
      <c r="I247" s="410"/>
      <c r="J247" s="410"/>
      <c r="K247" s="410"/>
      <c r="L247" s="408"/>
      <c r="M247" s="410"/>
      <c r="N247" s="410"/>
      <c r="O247" s="408"/>
      <c r="P247" s="408"/>
      <c r="Q247" s="408"/>
      <c r="R247" s="408"/>
      <c r="S247" s="408"/>
      <c r="T247" s="408"/>
      <c r="U247" s="408"/>
      <c r="V247" s="408"/>
      <c r="W247" s="408"/>
      <c r="X247" s="408"/>
      <c r="Y247" s="408"/>
      <c r="Z247" s="408"/>
      <c r="AA247" s="408"/>
      <c r="AB247" s="408"/>
      <c r="AC247" s="408"/>
    </row>
    <row r="248" spans="1:29" ht="15.75" customHeight="1" x14ac:dyDescent="0.35">
      <c r="A248" s="472"/>
      <c r="B248" s="472"/>
      <c r="C248" s="472"/>
      <c r="D248" s="1476"/>
      <c r="E248" s="1442"/>
      <c r="F248" s="1466"/>
      <c r="G248" s="472"/>
      <c r="H248" s="1449"/>
      <c r="I248" s="410"/>
      <c r="J248" s="410"/>
      <c r="K248" s="410"/>
      <c r="L248" s="408"/>
      <c r="M248" s="410"/>
      <c r="N248" s="410"/>
      <c r="O248" s="408"/>
      <c r="P248" s="408"/>
      <c r="Q248" s="408"/>
      <c r="R248" s="408"/>
      <c r="S248" s="408"/>
      <c r="T248" s="408"/>
      <c r="U248" s="408"/>
      <c r="V248" s="408"/>
      <c r="W248" s="408"/>
      <c r="X248" s="408"/>
      <c r="Y248" s="408"/>
      <c r="Z248" s="408"/>
      <c r="AA248" s="408"/>
      <c r="AB248" s="408"/>
      <c r="AC248" s="408"/>
    </row>
    <row r="249" spans="1:29" ht="15.75" customHeight="1" x14ac:dyDescent="0.35">
      <c r="A249" s="472"/>
      <c r="B249" s="472"/>
      <c r="C249" s="472"/>
      <c r="D249" s="1476"/>
      <c r="E249" s="1442"/>
      <c r="F249" s="1466"/>
      <c r="G249" s="472"/>
      <c r="H249" s="1449"/>
      <c r="I249" s="410"/>
      <c r="J249" s="410"/>
      <c r="K249" s="410"/>
      <c r="L249" s="408"/>
      <c r="M249" s="410"/>
      <c r="N249" s="410"/>
      <c r="O249" s="408"/>
      <c r="P249" s="408"/>
      <c r="Q249" s="408"/>
      <c r="R249" s="408"/>
      <c r="S249" s="408"/>
      <c r="T249" s="408"/>
      <c r="U249" s="408"/>
      <c r="V249" s="408"/>
      <c r="W249" s="408"/>
      <c r="X249" s="408"/>
      <c r="Y249" s="408"/>
      <c r="Z249" s="408"/>
      <c r="AA249" s="408"/>
      <c r="AB249" s="408"/>
      <c r="AC249" s="408"/>
    </row>
    <row r="250" spans="1:29" ht="15.75" customHeight="1" x14ac:dyDescent="0.35">
      <c r="A250" s="472"/>
      <c r="B250" s="472"/>
      <c r="C250" s="472"/>
      <c r="D250" s="1476"/>
      <c r="E250" s="1442"/>
      <c r="F250" s="1466"/>
      <c r="G250" s="472"/>
      <c r="H250" s="1449"/>
      <c r="I250" s="410"/>
      <c r="J250" s="410"/>
      <c r="K250" s="410"/>
      <c r="L250" s="408"/>
      <c r="M250" s="410"/>
      <c r="N250" s="410"/>
      <c r="O250" s="408"/>
      <c r="P250" s="408"/>
      <c r="Q250" s="408"/>
      <c r="R250" s="408"/>
      <c r="S250" s="408"/>
      <c r="T250" s="408"/>
      <c r="U250" s="408"/>
      <c r="V250" s="408"/>
      <c r="W250" s="408"/>
      <c r="X250" s="408"/>
      <c r="Y250" s="408"/>
      <c r="Z250" s="408"/>
      <c r="AA250" s="408"/>
      <c r="AB250" s="408"/>
      <c r="AC250" s="408"/>
    </row>
    <row r="251" spans="1:29" ht="15.75" customHeight="1" x14ac:dyDescent="0.35">
      <c r="A251" s="472"/>
      <c r="B251" s="472"/>
      <c r="C251" s="472"/>
      <c r="D251" s="1476"/>
      <c r="E251" s="1442"/>
      <c r="F251" s="1466"/>
      <c r="G251" s="472"/>
      <c r="H251" s="1449"/>
      <c r="I251" s="410"/>
      <c r="J251" s="410"/>
      <c r="K251" s="410"/>
      <c r="L251" s="408"/>
      <c r="M251" s="410"/>
      <c r="N251" s="410"/>
      <c r="O251" s="408"/>
      <c r="P251" s="408"/>
      <c r="Q251" s="408"/>
      <c r="R251" s="408"/>
      <c r="S251" s="408"/>
      <c r="T251" s="408"/>
      <c r="U251" s="408"/>
      <c r="V251" s="408"/>
      <c r="W251" s="408"/>
      <c r="X251" s="408"/>
      <c r="Y251" s="408"/>
      <c r="Z251" s="408"/>
      <c r="AA251" s="408"/>
      <c r="AB251" s="408"/>
      <c r="AC251" s="408"/>
    </row>
    <row r="252" spans="1:29" ht="15.75" customHeight="1" x14ac:dyDescent="0.35">
      <c r="A252" s="472"/>
      <c r="B252" s="472"/>
      <c r="C252" s="472"/>
      <c r="D252" s="1476"/>
      <c r="E252" s="1442"/>
      <c r="F252" s="1466"/>
      <c r="G252" s="472"/>
      <c r="H252" s="1449"/>
      <c r="I252" s="410"/>
      <c r="J252" s="410"/>
      <c r="K252" s="410"/>
      <c r="L252" s="408"/>
      <c r="M252" s="410"/>
      <c r="N252" s="410"/>
      <c r="O252" s="408"/>
      <c r="P252" s="408"/>
      <c r="Q252" s="408"/>
      <c r="R252" s="408"/>
      <c r="S252" s="408"/>
      <c r="T252" s="408"/>
      <c r="U252" s="408"/>
      <c r="V252" s="408"/>
      <c r="W252" s="408"/>
      <c r="X252" s="408"/>
      <c r="Y252" s="408"/>
      <c r="Z252" s="408"/>
      <c r="AA252" s="408"/>
      <c r="AB252" s="408"/>
      <c r="AC252" s="408"/>
    </row>
    <row r="253" spans="1:29" ht="15.75" customHeight="1" x14ac:dyDescent="0.35">
      <c r="A253" s="472"/>
      <c r="B253" s="472"/>
      <c r="C253" s="472"/>
      <c r="D253" s="1476"/>
      <c r="E253" s="1442"/>
      <c r="F253" s="1466"/>
      <c r="G253" s="472"/>
      <c r="H253" s="1449"/>
      <c r="I253" s="410"/>
      <c r="J253" s="410"/>
      <c r="K253" s="410"/>
      <c r="L253" s="408"/>
      <c r="M253" s="410"/>
      <c r="N253" s="410"/>
      <c r="O253" s="408"/>
      <c r="P253" s="408"/>
      <c r="Q253" s="408"/>
      <c r="R253" s="408"/>
      <c r="S253" s="408"/>
      <c r="T253" s="408"/>
      <c r="U253" s="408"/>
      <c r="V253" s="408"/>
      <c r="W253" s="408"/>
      <c r="X253" s="408"/>
      <c r="Y253" s="408"/>
      <c r="Z253" s="408"/>
      <c r="AA253" s="408"/>
      <c r="AB253" s="408"/>
      <c r="AC253" s="408"/>
    </row>
    <row r="254" spans="1:29" ht="15.75" customHeight="1" x14ac:dyDescent="0.35">
      <c r="A254" s="472"/>
      <c r="B254" s="472"/>
      <c r="C254" s="472"/>
      <c r="D254" s="1476"/>
      <c r="E254" s="1442"/>
      <c r="F254" s="1466"/>
      <c r="G254" s="472"/>
      <c r="H254" s="1449"/>
      <c r="I254" s="410"/>
      <c r="J254" s="410"/>
      <c r="K254" s="410"/>
      <c r="L254" s="408"/>
      <c r="M254" s="410"/>
      <c r="N254" s="410"/>
      <c r="O254" s="408"/>
      <c r="P254" s="408"/>
      <c r="Q254" s="408"/>
      <c r="R254" s="408"/>
      <c r="S254" s="408"/>
      <c r="T254" s="408"/>
      <c r="U254" s="408"/>
      <c r="V254" s="408"/>
      <c r="W254" s="408"/>
      <c r="X254" s="408"/>
      <c r="Y254" s="408"/>
      <c r="Z254" s="408"/>
      <c r="AA254" s="408"/>
      <c r="AB254" s="408"/>
      <c r="AC254" s="408"/>
    </row>
    <row r="255" spans="1:29" ht="15.75" customHeight="1" x14ac:dyDescent="0.35">
      <c r="A255" s="472"/>
      <c r="B255" s="472"/>
      <c r="C255" s="472"/>
      <c r="D255" s="1476"/>
      <c r="E255" s="1442"/>
      <c r="F255" s="1466"/>
      <c r="G255" s="472"/>
      <c r="H255" s="1449"/>
      <c r="I255" s="410"/>
      <c r="J255" s="410"/>
      <c r="K255" s="410"/>
      <c r="L255" s="408"/>
      <c r="M255" s="410"/>
      <c r="N255" s="410"/>
      <c r="O255" s="408"/>
      <c r="P255" s="408"/>
      <c r="Q255" s="408"/>
      <c r="R255" s="408"/>
      <c r="S255" s="408"/>
      <c r="T255" s="408"/>
      <c r="U255" s="408"/>
      <c r="V255" s="408"/>
      <c r="W255" s="408"/>
      <c r="X255" s="408"/>
      <c r="Y255" s="408"/>
      <c r="Z255" s="408"/>
      <c r="AA255" s="408"/>
      <c r="AB255" s="408"/>
      <c r="AC255" s="408"/>
    </row>
    <row r="256" spans="1:29" ht="15.75" customHeight="1" x14ac:dyDescent="0.35">
      <c r="A256" s="472"/>
      <c r="B256" s="472"/>
      <c r="C256" s="472"/>
      <c r="D256" s="1476"/>
      <c r="E256" s="1442"/>
      <c r="F256" s="1466"/>
      <c r="G256" s="472"/>
      <c r="H256" s="1449"/>
      <c r="I256" s="410"/>
      <c r="J256" s="410"/>
      <c r="K256" s="410"/>
      <c r="L256" s="408"/>
      <c r="M256" s="410"/>
      <c r="N256" s="410"/>
      <c r="O256" s="408"/>
      <c r="P256" s="408"/>
      <c r="Q256" s="408"/>
      <c r="R256" s="408"/>
      <c r="S256" s="408"/>
      <c r="T256" s="408"/>
      <c r="U256" s="408"/>
      <c r="V256" s="408"/>
      <c r="W256" s="408"/>
      <c r="X256" s="408"/>
      <c r="Y256" s="408"/>
      <c r="Z256" s="408"/>
      <c r="AA256" s="408"/>
      <c r="AB256" s="408"/>
      <c r="AC256" s="408"/>
    </row>
    <row r="257" spans="1:29" ht="15.75" customHeight="1" x14ac:dyDescent="0.35">
      <c r="A257" s="472"/>
      <c r="B257" s="472"/>
      <c r="C257" s="472"/>
      <c r="D257" s="1476"/>
      <c r="E257" s="1442"/>
      <c r="F257" s="1466"/>
      <c r="G257" s="472"/>
      <c r="H257" s="1449"/>
      <c r="I257" s="410"/>
      <c r="J257" s="410"/>
      <c r="K257" s="410"/>
      <c r="L257" s="408"/>
      <c r="M257" s="410"/>
      <c r="N257" s="410"/>
      <c r="O257" s="408"/>
      <c r="P257" s="408"/>
      <c r="Q257" s="408"/>
      <c r="R257" s="408"/>
      <c r="S257" s="408"/>
      <c r="T257" s="408"/>
      <c r="U257" s="408"/>
      <c r="V257" s="408"/>
      <c r="W257" s="408"/>
      <c r="X257" s="408"/>
      <c r="Y257" s="408"/>
      <c r="Z257" s="408"/>
      <c r="AA257" s="408"/>
      <c r="AB257" s="408"/>
      <c r="AC257" s="408"/>
    </row>
    <row r="258" spans="1:29" ht="15.75" customHeight="1" x14ac:dyDescent="0.35">
      <c r="A258" s="472"/>
      <c r="B258" s="472"/>
      <c r="C258" s="472"/>
      <c r="D258" s="1476"/>
      <c r="E258" s="1442"/>
      <c r="F258" s="1466"/>
      <c r="G258" s="472"/>
      <c r="H258" s="1449"/>
      <c r="I258" s="410"/>
      <c r="J258" s="410"/>
      <c r="K258" s="410"/>
      <c r="L258" s="408"/>
      <c r="M258" s="410"/>
      <c r="N258" s="410"/>
      <c r="O258" s="408"/>
      <c r="P258" s="408"/>
      <c r="Q258" s="408"/>
      <c r="R258" s="408"/>
      <c r="S258" s="408"/>
      <c r="T258" s="408"/>
      <c r="U258" s="408"/>
      <c r="V258" s="408"/>
      <c r="W258" s="408"/>
      <c r="X258" s="408"/>
      <c r="Y258" s="408"/>
      <c r="Z258" s="408"/>
      <c r="AA258" s="408"/>
      <c r="AB258" s="408"/>
      <c r="AC258" s="408"/>
    </row>
    <row r="259" spans="1:29" ht="15.75" customHeight="1" x14ac:dyDescent="0.35">
      <c r="A259" s="472"/>
      <c r="B259" s="472"/>
      <c r="C259" s="472"/>
      <c r="D259" s="1476"/>
      <c r="E259" s="1442"/>
      <c r="F259" s="1466"/>
      <c r="G259" s="472"/>
      <c r="H259" s="1449"/>
      <c r="I259" s="410"/>
      <c r="J259" s="410"/>
      <c r="K259" s="410"/>
      <c r="L259" s="408"/>
      <c r="M259" s="410"/>
      <c r="N259" s="410"/>
      <c r="O259" s="408"/>
      <c r="P259" s="408"/>
      <c r="Q259" s="408"/>
      <c r="R259" s="408"/>
      <c r="S259" s="408"/>
      <c r="T259" s="408"/>
      <c r="U259" s="408"/>
      <c r="V259" s="408"/>
      <c r="W259" s="408"/>
      <c r="X259" s="408"/>
      <c r="Y259" s="408"/>
      <c r="Z259" s="408"/>
      <c r="AA259" s="408"/>
      <c r="AB259" s="408"/>
      <c r="AC259" s="408"/>
    </row>
    <row r="260" spans="1:29" ht="15.75" customHeight="1" x14ac:dyDescent="0.35">
      <c r="A260" s="472"/>
      <c r="B260" s="472"/>
      <c r="C260" s="472"/>
      <c r="D260" s="1476"/>
      <c r="E260" s="1442"/>
      <c r="F260" s="1466"/>
      <c r="G260" s="472"/>
      <c r="H260" s="1449"/>
      <c r="I260" s="410"/>
      <c r="J260" s="410"/>
      <c r="K260" s="410"/>
      <c r="L260" s="408"/>
      <c r="M260" s="410"/>
      <c r="N260" s="410"/>
      <c r="O260" s="408"/>
      <c r="P260" s="408"/>
      <c r="Q260" s="408"/>
      <c r="R260" s="408"/>
      <c r="S260" s="408"/>
      <c r="T260" s="408"/>
      <c r="U260" s="408"/>
      <c r="V260" s="408"/>
      <c r="W260" s="408"/>
      <c r="X260" s="408"/>
      <c r="Y260" s="408"/>
      <c r="Z260" s="408"/>
      <c r="AA260" s="408"/>
      <c r="AB260" s="408"/>
      <c r="AC260" s="408"/>
    </row>
    <row r="261" spans="1:29" ht="15.75" customHeight="1" x14ac:dyDescent="0.35">
      <c r="A261" s="472"/>
      <c r="B261" s="472"/>
      <c r="C261" s="472"/>
      <c r="D261" s="1476"/>
      <c r="E261" s="1442"/>
      <c r="F261" s="1466"/>
      <c r="G261" s="472"/>
      <c r="H261" s="1449"/>
      <c r="I261" s="410"/>
      <c r="J261" s="410"/>
      <c r="K261" s="410"/>
      <c r="L261" s="408"/>
      <c r="M261" s="410"/>
      <c r="N261" s="410"/>
      <c r="O261" s="408"/>
      <c r="P261" s="408"/>
      <c r="Q261" s="408"/>
      <c r="R261" s="408"/>
      <c r="S261" s="408"/>
      <c r="T261" s="408"/>
      <c r="U261" s="408"/>
      <c r="V261" s="408"/>
      <c r="W261" s="408"/>
      <c r="X261" s="408"/>
      <c r="Y261" s="408"/>
      <c r="Z261" s="408"/>
      <c r="AA261" s="408"/>
      <c r="AB261" s="408"/>
      <c r="AC261" s="408"/>
    </row>
    <row r="262" spans="1:29" ht="15.75" customHeight="1" x14ac:dyDescent="0.35">
      <c r="A262" s="472"/>
      <c r="B262" s="472"/>
      <c r="C262" s="472"/>
      <c r="D262" s="1476"/>
      <c r="E262" s="1442"/>
      <c r="F262" s="1466"/>
      <c r="G262" s="472"/>
      <c r="H262" s="1449"/>
      <c r="I262" s="410"/>
      <c r="J262" s="410"/>
      <c r="K262" s="410"/>
      <c r="L262" s="408"/>
      <c r="M262" s="410"/>
      <c r="N262" s="410"/>
      <c r="O262" s="408"/>
      <c r="P262" s="408"/>
      <c r="Q262" s="408"/>
      <c r="R262" s="408"/>
      <c r="S262" s="408"/>
      <c r="T262" s="408"/>
      <c r="U262" s="408"/>
      <c r="V262" s="408"/>
      <c r="W262" s="408"/>
      <c r="X262" s="408"/>
      <c r="Y262" s="408"/>
      <c r="Z262" s="408"/>
      <c r="AA262" s="408"/>
      <c r="AB262" s="408"/>
      <c r="AC262" s="408"/>
    </row>
    <row r="263" spans="1:29" ht="15.75" customHeight="1" x14ac:dyDescent="0.35">
      <c r="A263" s="472"/>
      <c r="B263" s="472"/>
      <c r="C263" s="472"/>
      <c r="D263" s="1476"/>
      <c r="E263" s="1442"/>
      <c r="F263" s="1466"/>
      <c r="G263" s="472"/>
      <c r="H263" s="1449"/>
      <c r="I263" s="410"/>
      <c r="J263" s="410"/>
      <c r="K263" s="410"/>
      <c r="L263" s="408"/>
      <c r="M263" s="410"/>
      <c r="N263" s="410"/>
      <c r="O263" s="408"/>
      <c r="P263" s="408"/>
      <c r="Q263" s="408"/>
      <c r="R263" s="408"/>
      <c r="S263" s="408"/>
      <c r="T263" s="408"/>
      <c r="U263" s="408"/>
      <c r="V263" s="408"/>
      <c r="W263" s="408"/>
      <c r="X263" s="408"/>
      <c r="Y263" s="408"/>
      <c r="Z263" s="408"/>
      <c r="AA263" s="408"/>
      <c r="AB263" s="408"/>
      <c r="AC263" s="408"/>
    </row>
    <row r="264" spans="1:29" ht="15.75" customHeight="1" x14ac:dyDescent="0.35">
      <c r="A264" s="472"/>
      <c r="B264" s="472"/>
      <c r="C264" s="472"/>
      <c r="D264" s="1476"/>
      <c r="E264" s="1442"/>
      <c r="F264" s="1466"/>
      <c r="G264" s="472"/>
      <c r="H264" s="1449"/>
      <c r="I264" s="410"/>
      <c r="J264" s="410"/>
      <c r="K264" s="410"/>
      <c r="L264" s="408"/>
      <c r="M264" s="410"/>
      <c r="N264" s="410"/>
      <c r="O264" s="408"/>
      <c r="P264" s="408"/>
      <c r="Q264" s="408"/>
      <c r="R264" s="408"/>
      <c r="S264" s="408"/>
      <c r="T264" s="408"/>
      <c r="U264" s="408"/>
      <c r="V264" s="408"/>
      <c r="W264" s="408"/>
      <c r="X264" s="408"/>
      <c r="Y264" s="408"/>
      <c r="Z264" s="408"/>
      <c r="AA264" s="408"/>
      <c r="AB264" s="408"/>
      <c r="AC264" s="408"/>
    </row>
    <row r="265" spans="1:29" ht="15.75" customHeight="1" x14ac:dyDescent="0.35">
      <c r="A265" s="472"/>
      <c r="B265" s="472"/>
      <c r="C265" s="472"/>
      <c r="D265" s="1476"/>
      <c r="E265" s="1442"/>
      <c r="F265" s="1466"/>
      <c r="G265" s="472"/>
      <c r="H265" s="1449"/>
      <c r="I265" s="410"/>
      <c r="J265" s="410"/>
      <c r="K265" s="410"/>
      <c r="L265" s="408"/>
      <c r="M265" s="410"/>
      <c r="N265" s="410"/>
      <c r="O265" s="408"/>
      <c r="P265" s="408"/>
      <c r="Q265" s="408"/>
      <c r="R265" s="408"/>
      <c r="S265" s="408"/>
      <c r="T265" s="408"/>
      <c r="U265" s="408"/>
      <c r="V265" s="408"/>
      <c r="W265" s="408"/>
      <c r="X265" s="408"/>
      <c r="Y265" s="408"/>
      <c r="Z265" s="408"/>
      <c r="AA265" s="408"/>
      <c r="AB265" s="408"/>
      <c r="AC265" s="408"/>
    </row>
    <row r="266" spans="1:29" ht="15.75" customHeight="1" x14ac:dyDescent="0.35">
      <c r="A266" s="472"/>
      <c r="B266" s="472"/>
      <c r="C266" s="472"/>
      <c r="D266" s="1476"/>
      <c r="E266" s="1442"/>
      <c r="F266" s="1466"/>
      <c r="G266" s="472"/>
      <c r="H266" s="1449"/>
      <c r="I266" s="410"/>
      <c r="J266" s="410"/>
      <c r="K266" s="410"/>
      <c r="L266" s="408"/>
      <c r="M266" s="410"/>
      <c r="N266" s="410"/>
      <c r="O266" s="408"/>
      <c r="P266" s="408"/>
      <c r="Q266" s="408"/>
      <c r="R266" s="408"/>
      <c r="S266" s="408"/>
      <c r="T266" s="408"/>
      <c r="U266" s="408"/>
      <c r="V266" s="408"/>
      <c r="W266" s="408"/>
      <c r="X266" s="408"/>
      <c r="Y266" s="408"/>
      <c r="Z266" s="408"/>
      <c r="AA266" s="408"/>
      <c r="AB266" s="408"/>
      <c r="AC266" s="408"/>
    </row>
    <row r="267" spans="1:29" ht="15.75" customHeight="1" x14ac:dyDescent="0.35">
      <c r="A267" s="472"/>
      <c r="B267" s="472"/>
      <c r="C267" s="472"/>
      <c r="D267" s="1476"/>
      <c r="E267" s="1442"/>
      <c r="F267" s="1466"/>
      <c r="G267" s="472"/>
      <c r="H267" s="1449"/>
      <c r="I267" s="410"/>
      <c r="J267" s="410"/>
      <c r="K267" s="410"/>
      <c r="L267" s="408"/>
      <c r="M267" s="410"/>
      <c r="N267" s="410"/>
      <c r="O267" s="408"/>
      <c r="P267" s="408"/>
      <c r="Q267" s="408"/>
      <c r="R267" s="408"/>
      <c r="S267" s="408"/>
      <c r="T267" s="408"/>
      <c r="U267" s="408"/>
      <c r="V267" s="408"/>
      <c r="W267" s="408"/>
      <c r="X267" s="408"/>
      <c r="Y267" s="408"/>
      <c r="Z267" s="408"/>
      <c r="AA267" s="408"/>
      <c r="AB267" s="408"/>
      <c r="AC267" s="408"/>
    </row>
    <row r="268" spans="1:29" ht="15.75" customHeight="1" x14ac:dyDescent="0.35">
      <c r="A268" s="472"/>
      <c r="B268" s="472"/>
      <c r="C268" s="472"/>
      <c r="D268" s="1476"/>
      <c r="E268" s="1442"/>
      <c r="F268" s="1466"/>
      <c r="G268" s="472"/>
      <c r="H268" s="1449"/>
      <c r="I268" s="410"/>
      <c r="J268" s="410"/>
      <c r="K268" s="410"/>
      <c r="L268" s="408"/>
      <c r="M268" s="410"/>
      <c r="N268" s="410"/>
      <c r="O268" s="408"/>
      <c r="P268" s="408"/>
      <c r="Q268" s="408"/>
      <c r="R268" s="408"/>
      <c r="S268" s="408"/>
      <c r="T268" s="408"/>
      <c r="U268" s="408"/>
      <c r="V268" s="408"/>
      <c r="W268" s="408"/>
      <c r="X268" s="408"/>
      <c r="Y268" s="408"/>
      <c r="Z268" s="408"/>
      <c r="AA268" s="408"/>
      <c r="AB268" s="408"/>
      <c r="AC268" s="408"/>
    </row>
    <row r="269" spans="1:29" ht="15.75" customHeight="1" x14ac:dyDescent="0.35">
      <c r="A269" s="472"/>
      <c r="B269" s="472"/>
      <c r="C269" s="472"/>
      <c r="D269" s="1476"/>
      <c r="E269" s="1442"/>
      <c r="F269" s="1466"/>
      <c r="G269" s="472"/>
      <c r="H269" s="1449"/>
      <c r="I269" s="410"/>
      <c r="J269" s="410"/>
      <c r="K269" s="410"/>
      <c r="L269" s="408"/>
      <c r="M269" s="410"/>
      <c r="N269" s="410"/>
      <c r="O269" s="408"/>
      <c r="P269" s="408"/>
      <c r="Q269" s="408"/>
      <c r="R269" s="408"/>
      <c r="S269" s="408"/>
      <c r="T269" s="408"/>
      <c r="U269" s="408"/>
      <c r="V269" s="408"/>
      <c r="W269" s="408"/>
      <c r="X269" s="408"/>
      <c r="Y269" s="408"/>
      <c r="Z269" s="408"/>
      <c r="AA269" s="408"/>
      <c r="AB269" s="408"/>
      <c r="AC269" s="408"/>
    </row>
    <row r="270" spans="1:29" ht="15.75" customHeight="1" x14ac:dyDescent="0.35">
      <c r="A270" s="472"/>
      <c r="B270" s="472"/>
      <c r="C270" s="472"/>
      <c r="D270" s="1476"/>
      <c r="E270" s="1442"/>
      <c r="F270" s="1466"/>
      <c r="G270" s="472"/>
      <c r="H270" s="1449"/>
      <c r="I270" s="410"/>
      <c r="J270" s="410"/>
      <c r="K270" s="410"/>
      <c r="L270" s="408"/>
      <c r="M270" s="410"/>
      <c r="N270" s="410"/>
      <c r="O270" s="408"/>
      <c r="P270" s="408"/>
      <c r="Q270" s="408"/>
      <c r="R270" s="408"/>
      <c r="S270" s="408"/>
      <c r="T270" s="408"/>
      <c r="U270" s="408"/>
      <c r="V270" s="408"/>
      <c r="W270" s="408"/>
      <c r="X270" s="408"/>
      <c r="Y270" s="408"/>
      <c r="Z270" s="408"/>
      <c r="AA270" s="408"/>
      <c r="AB270" s="408"/>
      <c r="AC270" s="408"/>
    </row>
    <row r="271" spans="1:29" ht="15.75" customHeight="1" x14ac:dyDescent="0.35">
      <c r="A271" s="472"/>
      <c r="B271" s="472"/>
      <c r="C271" s="472"/>
      <c r="D271" s="1476"/>
      <c r="E271" s="1442"/>
      <c r="F271" s="1466"/>
      <c r="G271" s="472"/>
      <c r="H271" s="1449"/>
      <c r="I271" s="410"/>
      <c r="J271" s="410"/>
      <c r="K271" s="410"/>
      <c r="L271" s="408"/>
      <c r="M271" s="410"/>
      <c r="N271" s="410"/>
      <c r="O271" s="408"/>
      <c r="P271" s="408"/>
      <c r="Q271" s="408"/>
      <c r="R271" s="408"/>
      <c r="S271" s="408"/>
      <c r="T271" s="408"/>
      <c r="U271" s="408"/>
      <c r="V271" s="408"/>
      <c r="W271" s="408"/>
      <c r="X271" s="408"/>
      <c r="Y271" s="408"/>
      <c r="Z271" s="408"/>
      <c r="AA271" s="408"/>
      <c r="AB271" s="408"/>
      <c r="AC271" s="408"/>
    </row>
    <row r="272" spans="1:29" ht="15.75" customHeight="1" x14ac:dyDescent="0.35">
      <c r="A272" s="472"/>
      <c r="B272" s="472"/>
      <c r="C272" s="472"/>
      <c r="D272" s="1476"/>
      <c r="E272" s="1442"/>
      <c r="F272" s="1466"/>
      <c r="G272" s="472"/>
      <c r="H272" s="1449"/>
      <c r="I272" s="410"/>
      <c r="J272" s="410"/>
      <c r="K272" s="410"/>
      <c r="L272" s="408"/>
      <c r="M272" s="410"/>
      <c r="N272" s="410"/>
      <c r="O272" s="408"/>
      <c r="P272" s="408"/>
      <c r="Q272" s="408"/>
      <c r="R272" s="408"/>
      <c r="S272" s="408"/>
      <c r="T272" s="408"/>
      <c r="U272" s="408"/>
      <c r="V272" s="408"/>
      <c r="W272" s="408"/>
      <c r="X272" s="408"/>
      <c r="Y272" s="408"/>
      <c r="Z272" s="408"/>
      <c r="AA272" s="408"/>
      <c r="AB272" s="408"/>
      <c r="AC272" s="408"/>
    </row>
    <row r="273" spans="1:29" ht="15.75" customHeight="1" x14ac:dyDescent="0.35">
      <c r="A273" s="472"/>
      <c r="B273" s="472"/>
      <c r="C273" s="472"/>
      <c r="D273" s="1476"/>
      <c r="E273" s="1442"/>
      <c r="F273" s="1466"/>
      <c r="G273" s="472"/>
      <c r="H273" s="1449"/>
      <c r="I273" s="410"/>
      <c r="J273" s="410"/>
      <c r="K273" s="410"/>
      <c r="L273" s="408"/>
      <c r="M273" s="410"/>
      <c r="N273" s="410"/>
      <c r="O273" s="408"/>
      <c r="P273" s="408"/>
      <c r="Q273" s="408"/>
      <c r="R273" s="408"/>
      <c r="S273" s="408"/>
      <c r="T273" s="408"/>
      <c r="U273" s="408"/>
      <c r="V273" s="408"/>
      <c r="W273" s="408"/>
      <c r="X273" s="408"/>
      <c r="Y273" s="408"/>
      <c r="Z273" s="408"/>
      <c r="AA273" s="408"/>
      <c r="AB273" s="408"/>
      <c r="AC273" s="408"/>
    </row>
    <row r="274" spans="1:29" ht="15.75" customHeight="1" x14ac:dyDescent="0.35">
      <c r="A274" s="472"/>
      <c r="B274" s="472"/>
      <c r="C274" s="472"/>
      <c r="D274" s="1476"/>
      <c r="E274" s="1442"/>
      <c r="F274" s="1466"/>
      <c r="G274" s="472"/>
      <c r="H274" s="1449"/>
      <c r="I274" s="410"/>
      <c r="J274" s="410"/>
      <c r="K274" s="410"/>
      <c r="L274" s="408"/>
      <c r="M274" s="410"/>
      <c r="N274" s="410"/>
      <c r="O274" s="408"/>
      <c r="P274" s="408"/>
      <c r="Q274" s="408"/>
      <c r="R274" s="408"/>
      <c r="S274" s="408"/>
      <c r="T274" s="408"/>
      <c r="U274" s="408"/>
      <c r="V274" s="408"/>
      <c r="W274" s="408"/>
      <c r="X274" s="408"/>
      <c r="Y274" s="408"/>
      <c r="Z274" s="408"/>
      <c r="AA274" s="408"/>
      <c r="AB274" s="408"/>
      <c r="AC274" s="408"/>
    </row>
    <row r="275" spans="1:29" ht="15.75" customHeight="1" x14ac:dyDescent="0.35">
      <c r="A275" s="472"/>
      <c r="B275" s="472"/>
      <c r="C275" s="472"/>
      <c r="D275" s="1476"/>
      <c r="E275" s="1442"/>
      <c r="F275" s="1466"/>
      <c r="G275" s="472"/>
      <c r="H275" s="1449"/>
      <c r="I275" s="410"/>
      <c r="J275" s="410"/>
      <c r="K275" s="410"/>
      <c r="L275" s="408"/>
      <c r="M275" s="410"/>
      <c r="N275" s="410"/>
      <c r="O275" s="408"/>
      <c r="P275" s="408"/>
      <c r="Q275" s="408"/>
      <c r="R275" s="408"/>
      <c r="S275" s="408"/>
      <c r="T275" s="408"/>
      <c r="U275" s="408"/>
      <c r="V275" s="408"/>
      <c r="W275" s="408"/>
      <c r="X275" s="408"/>
      <c r="Y275" s="408"/>
      <c r="Z275" s="408"/>
      <c r="AA275" s="408"/>
      <c r="AB275" s="408"/>
      <c r="AC275" s="408"/>
    </row>
    <row r="276" spans="1:29" ht="15.75" customHeight="1" x14ac:dyDescent="0.35">
      <c r="A276" s="472"/>
      <c r="B276" s="472"/>
      <c r="C276" s="472"/>
      <c r="D276" s="1476"/>
      <c r="E276" s="1442"/>
      <c r="F276" s="1466"/>
      <c r="G276" s="472"/>
      <c r="H276" s="1449"/>
      <c r="I276" s="410"/>
      <c r="J276" s="410"/>
      <c r="K276" s="410"/>
      <c r="L276" s="408"/>
      <c r="M276" s="410"/>
      <c r="N276" s="410"/>
      <c r="O276" s="408"/>
      <c r="P276" s="408"/>
      <c r="Q276" s="408"/>
      <c r="R276" s="408"/>
      <c r="S276" s="408"/>
      <c r="T276" s="408"/>
      <c r="U276" s="408"/>
      <c r="V276" s="408"/>
      <c r="W276" s="408"/>
      <c r="X276" s="408"/>
      <c r="Y276" s="408"/>
      <c r="Z276" s="408"/>
      <c r="AA276" s="408"/>
      <c r="AB276" s="408"/>
      <c r="AC276" s="408"/>
    </row>
    <row r="277" spans="1:29" ht="15.75" customHeight="1" x14ac:dyDescent="0.35">
      <c r="A277" s="472"/>
      <c r="B277" s="472"/>
      <c r="C277" s="472"/>
      <c r="D277" s="1476"/>
      <c r="E277" s="1442"/>
      <c r="F277" s="1466"/>
      <c r="G277" s="472"/>
      <c r="H277" s="1449"/>
      <c r="I277" s="410"/>
      <c r="J277" s="410"/>
      <c r="K277" s="410"/>
      <c r="L277" s="408"/>
      <c r="M277" s="410"/>
      <c r="N277" s="410"/>
      <c r="O277" s="408"/>
      <c r="P277" s="408"/>
      <c r="Q277" s="408"/>
      <c r="R277" s="408"/>
      <c r="S277" s="408"/>
      <c r="T277" s="408"/>
      <c r="U277" s="408"/>
      <c r="V277" s="408"/>
      <c r="W277" s="408"/>
      <c r="X277" s="408"/>
      <c r="Y277" s="408"/>
      <c r="Z277" s="408"/>
      <c r="AA277" s="408"/>
      <c r="AB277" s="408"/>
      <c r="AC277" s="408"/>
    </row>
    <row r="278" spans="1:29" ht="15.75" customHeight="1" x14ac:dyDescent="0.35">
      <c r="A278" s="472"/>
      <c r="B278" s="472"/>
      <c r="C278" s="472"/>
      <c r="D278" s="1476"/>
      <c r="E278" s="1442"/>
      <c r="F278" s="1466"/>
      <c r="G278" s="472"/>
      <c r="H278" s="1449"/>
      <c r="I278" s="410"/>
      <c r="J278" s="410"/>
      <c r="K278" s="410"/>
      <c r="L278" s="408"/>
      <c r="M278" s="410"/>
      <c r="N278" s="410"/>
      <c r="O278" s="408"/>
      <c r="P278" s="408"/>
      <c r="Q278" s="408"/>
      <c r="R278" s="408"/>
      <c r="S278" s="408"/>
      <c r="T278" s="408"/>
      <c r="U278" s="408"/>
      <c r="V278" s="408"/>
      <c r="W278" s="408"/>
      <c r="X278" s="408"/>
      <c r="Y278" s="408"/>
      <c r="Z278" s="408"/>
      <c r="AA278" s="408"/>
      <c r="AB278" s="408"/>
      <c r="AC278" s="408"/>
    </row>
    <row r="279" spans="1:29" ht="15.75" customHeight="1" x14ac:dyDescent="0.35">
      <c r="A279" s="472"/>
      <c r="B279" s="472"/>
      <c r="C279" s="472"/>
      <c r="D279" s="1476"/>
      <c r="E279" s="1442"/>
      <c r="F279" s="1466"/>
      <c r="G279" s="472"/>
      <c r="H279" s="1449"/>
      <c r="I279" s="410"/>
      <c r="J279" s="410"/>
      <c r="K279" s="410"/>
      <c r="L279" s="408"/>
      <c r="M279" s="410"/>
      <c r="N279" s="410"/>
      <c r="O279" s="408"/>
      <c r="P279" s="408"/>
      <c r="Q279" s="408"/>
      <c r="R279" s="408"/>
      <c r="S279" s="408"/>
      <c r="T279" s="408"/>
      <c r="U279" s="408"/>
      <c r="V279" s="408"/>
      <c r="W279" s="408"/>
      <c r="X279" s="408"/>
      <c r="Y279" s="408"/>
      <c r="Z279" s="408"/>
      <c r="AA279" s="408"/>
      <c r="AB279" s="408"/>
      <c r="AC279" s="408"/>
    </row>
    <row r="280" spans="1:29" ht="15.75" customHeight="1" x14ac:dyDescent="0.35">
      <c r="A280" s="472"/>
      <c r="B280" s="472"/>
      <c r="C280" s="472"/>
      <c r="D280" s="1476"/>
      <c r="E280" s="1442"/>
      <c r="F280" s="1466"/>
      <c r="G280" s="472"/>
      <c r="H280" s="1449"/>
      <c r="I280" s="410"/>
      <c r="J280" s="410"/>
      <c r="K280" s="410"/>
      <c r="L280" s="408"/>
      <c r="M280" s="410"/>
      <c r="N280" s="410"/>
      <c r="O280" s="408"/>
      <c r="P280" s="408"/>
      <c r="Q280" s="408"/>
      <c r="R280" s="408"/>
      <c r="S280" s="408"/>
      <c r="T280" s="408"/>
      <c r="U280" s="408"/>
      <c r="V280" s="408"/>
      <c r="W280" s="408"/>
      <c r="X280" s="408"/>
      <c r="Y280" s="408"/>
      <c r="Z280" s="408"/>
      <c r="AA280" s="408"/>
      <c r="AB280" s="408"/>
      <c r="AC280" s="408"/>
    </row>
    <row r="281" spans="1:29" ht="15.75" customHeight="1" x14ac:dyDescent="0.35">
      <c r="A281" s="472"/>
      <c r="B281" s="472"/>
      <c r="C281" s="472"/>
      <c r="D281" s="1476"/>
      <c r="E281" s="1442"/>
      <c r="F281" s="1466"/>
      <c r="G281" s="472"/>
      <c r="H281" s="1449"/>
      <c r="I281" s="410"/>
      <c r="J281" s="410"/>
      <c r="K281" s="410"/>
      <c r="L281" s="408"/>
      <c r="M281" s="410"/>
      <c r="N281" s="410"/>
      <c r="O281" s="408"/>
      <c r="P281" s="408"/>
      <c r="Q281" s="408"/>
      <c r="R281" s="408"/>
      <c r="S281" s="408"/>
      <c r="T281" s="408"/>
      <c r="U281" s="408"/>
      <c r="V281" s="408"/>
      <c r="W281" s="408"/>
      <c r="X281" s="408"/>
      <c r="Y281" s="408"/>
      <c r="Z281" s="408"/>
      <c r="AA281" s="408"/>
      <c r="AB281" s="408"/>
      <c r="AC281" s="408"/>
    </row>
    <row r="282" spans="1:29" ht="15.75" customHeight="1" x14ac:dyDescent="0.35">
      <c r="A282" s="472"/>
      <c r="B282" s="472"/>
      <c r="C282" s="472"/>
      <c r="D282" s="1476"/>
      <c r="E282" s="1442"/>
      <c r="F282" s="1466"/>
      <c r="G282" s="472"/>
      <c r="H282" s="1449"/>
      <c r="I282" s="410"/>
      <c r="J282" s="410"/>
      <c r="K282" s="410"/>
      <c r="L282" s="408"/>
      <c r="M282" s="410"/>
      <c r="N282" s="410"/>
      <c r="O282" s="408"/>
      <c r="P282" s="408"/>
      <c r="Q282" s="408"/>
      <c r="R282" s="408"/>
      <c r="S282" s="408"/>
      <c r="T282" s="408"/>
      <c r="U282" s="408"/>
      <c r="V282" s="408"/>
      <c r="W282" s="408"/>
      <c r="X282" s="408"/>
      <c r="Y282" s="408"/>
      <c r="Z282" s="408"/>
      <c r="AA282" s="408"/>
      <c r="AB282" s="408"/>
      <c r="AC282" s="408"/>
    </row>
    <row r="283" spans="1:29" ht="15.75" customHeight="1" x14ac:dyDescent="0.35"/>
    <row r="284" spans="1:29" ht="15.75" customHeight="1" x14ac:dyDescent="0.35"/>
    <row r="285" spans="1:29" ht="15.75" customHeight="1" x14ac:dyDescent="0.35"/>
    <row r="286" spans="1:29" ht="15.75" customHeight="1" x14ac:dyDescent="0.35"/>
    <row r="287" spans="1:29" ht="15.75" customHeight="1" x14ac:dyDescent="0.35"/>
    <row r="288" spans="1:29"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row r="1001" ht="15.75" customHeight="1" x14ac:dyDescent="0.35"/>
    <row r="1002" ht="15.75" customHeight="1" x14ac:dyDescent="0.35"/>
    <row r="1003" ht="15.75" customHeight="1" x14ac:dyDescent="0.35"/>
    <row r="1004" ht="15.75" customHeight="1" x14ac:dyDescent="0.35"/>
    <row r="1005" ht="15.75" customHeight="1" x14ac:dyDescent="0.35"/>
    <row r="1006" ht="15.75" customHeight="1" x14ac:dyDescent="0.35"/>
    <row r="1007" ht="15.75" customHeight="1" x14ac:dyDescent="0.35"/>
    <row r="1008" ht="15.75" customHeight="1" x14ac:dyDescent="0.35"/>
    <row r="1009" ht="15.75" customHeight="1" x14ac:dyDescent="0.35"/>
    <row r="1010" ht="15.75" customHeight="1" x14ac:dyDescent="0.35"/>
    <row r="1011" ht="15.75" customHeight="1" x14ac:dyDescent="0.35"/>
    <row r="1012" ht="15.75" customHeight="1" x14ac:dyDescent="0.35"/>
    <row r="1013" ht="15.75" customHeight="1" x14ac:dyDescent="0.35"/>
    <row r="1014" ht="15.75" customHeight="1" x14ac:dyDescent="0.35"/>
    <row r="1015" ht="15.75" customHeight="1" x14ac:dyDescent="0.35"/>
    <row r="1016" ht="15.75" customHeight="1" x14ac:dyDescent="0.35"/>
    <row r="1017" ht="15.75" customHeight="1" x14ac:dyDescent="0.35"/>
    <row r="1018" ht="15.75" customHeight="1" x14ac:dyDescent="0.35"/>
    <row r="1019" ht="15.75" customHeight="1" x14ac:dyDescent="0.35"/>
    <row r="1020" ht="15.75" customHeight="1" x14ac:dyDescent="0.35"/>
    <row r="1021" ht="15.75" customHeight="1" x14ac:dyDescent="0.35"/>
    <row r="1022" ht="15.75" customHeight="1" x14ac:dyDescent="0.35"/>
    <row r="1023" ht="15.75" customHeight="1" x14ac:dyDescent="0.35"/>
    <row r="1024" ht="15.75" customHeight="1" x14ac:dyDescent="0.35"/>
    <row r="1025" ht="15.75" customHeight="1" x14ac:dyDescent="0.35"/>
    <row r="1026" ht="15.75" customHeight="1" x14ac:dyDescent="0.35"/>
  </sheetData>
  <mergeCells count="1">
    <mergeCell ref="I8:N15"/>
  </mergeCells>
  <conditionalFormatting sqref="E8:E11 E14:E19 E21:E23 E26:E30 E37:E46 E50 E52:E53 E55 E60 E66:E71 E74:E75 E79:E82 E64">
    <cfRule type="colorScale" priority="83">
      <colorScale>
        <cfvo type="num" val="0"/>
        <cfvo type="num" val="0.5"/>
        <cfvo type="num" val="1"/>
        <color rgb="FFB7CDD1"/>
        <color rgb="FF76A5AF"/>
        <color rgb="FF134F5C"/>
      </colorScale>
    </cfRule>
  </conditionalFormatting>
  <conditionalFormatting sqref="E33:E34">
    <cfRule type="colorScale" priority="82">
      <colorScale>
        <cfvo type="percent" val="0"/>
        <cfvo type="num" val="0.25"/>
        <cfvo type="num" val="0.5"/>
        <color rgb="FFB7CDD1"/>
        <color rgb="FF76A5AF"/>
        <color rgb="FF134F5C"/>
      </colorScale>
    </cfRule>
  </conditionalFormatting>
  <conditionalFormatting sqref="E47">
    <cfRule type="colorScale" priority="78">
      <colorScale>
        <cfvo type="num" val="0"/>
        <cfvo type="num" val="0.375"/>
        <cfvo type="num" val="0.75"/>
        <color rgb="FFB7CDD1"/>
        <color rgb="FF76A5AF"/>
        <color rgb="FF134F5C"/>
      </colorScale>
    </cfRule>
  </conditionalFormatting>
  <conditionalFormatting sqref="E51">
    <cfRule type="colorScale" priority="3">
      <colorScale>
        <cfvo type="num" val="0"/>
        <cfvo type="num" val="0.5"/>
        <cfvo type="num" val="1"/>
        <color rgb="FF134F5C"/>
        <color rgb="FF76A5AF"/>
        <color rgb="FFB7CDD1"/>
      </colorScale>
    </cfRule>
  </conditionalFormatting>
  <conditionalFormatting sqref="E56">
    <cfRule type="colorScale" priority="2">
      <colorScale>
        <cfvo type="num" val="0"/>
        <cfvo type="num" val="40"/>
        <cfvo type="num" val="80"/>
        <color rgb="FFB7CDD1"/>
        <color rgb="FF76A5AF"/>
        <color rgb="FF134F5C"/>
      </colorScale>
    </cfRule>
  </conditionalFormatting>
  <conditionalFormatting sqref="E57 E54 E61">
    <cfRule type="colorScale" priority="12">
      <colorScale>
        <cfvo type="num" val="0"/>
        <cfvo type="num" val="0.5"/>
        <cfvo type="num" val="1"/>
        <color rgb="FFB7CDD1"/>
        <color rgb="FF76A5AF"/>
        <color rgb="FF134F5C"/>
      </colorScale>
    </cfRule>
  </conditionalFormatting>
  <conditionalFormatting sqref="E65">
    <cfRule type="colorScale" priority="1">
      <colorScale>
        <cfvo type="num" val="0"/>
        <cfvo type="num" val="5"/>
        <cfvo type="num" val="10"/>
        <color rgb="FFB7CDD1"/>
        <color rgb="FF76A5AF"/>
        <color rgb="FF134F5C"/>
      </colorScale>
    </cfRule>
  </conditionalFormatting>
  <conditionalFormatting sqref="E76">
    <cfRule type="colorScale" priority="6">
      <colorScale>
        <cfvo type="num" val="30"/>
        <cfvo type="num" val="85"/>
        <cfvo type="num" val="200"/>
        <color rgb="FFB7CDD1"/>
        <color rgb="FF76A5AF"/>
        <color rgb="FF134F5C"/>
      </colorScale>
    </cfRule>
  </conditionalFormatting>
  <pageMargins left="0.25" right="0.25" top="0.75" bottom="0.75" header="0" footer="0"/>
  <pageSetup scale="5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4">
    <outlinePr summaryBelow="0" summaryRight="0"/>
  </sheetPr>
  <dimension ref="A1:AZ279"/>
  <sheetViews>
    <sheetView topLeftCell="X3" workbookViewId="0">
      <selection activeCell="AG5" sqref="AG5"/>
    </sheetView>
  </sheetViews>
  <sheetFormatPr defaultColWidth="14.453125" defaultRowHeight="13" x14ac:dyDescent="0.35"/>
  <cols>
    <col min="1" max="1" width="2.6328125" style="63" customWidth="1"/>
    <col min="2" max="2" width="46.08984375" style="63" customWidth="1"/>
    <col min="3" max="3" width="2.90625" style="63" customWidth="1"/>
    <col min="4" max="4" width="30.36328125" style="63" customWidth="1"/>
    <col min="5" max="5" width="10.36328125" style="290" customWidth="1"/>
    <col min="6" max="6" width="6" style="290" bestFit="1" customWidth="1"/>
    <col min="7" max="7" width="21.90625" style="63" bestFit="1" customWidth="1"/>
    <col min="8" max="8" width="10.453125" style="291" bestFit="1" customWidth="1"/>
    <col min="9" max="9" width="10.453125" style="292" customWidth="1"/>
    <col min="10" max="10" width="13.90625" style="293" bestFit="1" customWidth="1"/>
    <col min="11" max="11" width="16.453125" style="294" bestFit="1" customWidth="1"/>
    <col min="12" max="17" width="11" style="295" customWidth="1"/>
    <col min="18" max="18" width="10.90625" style="291" customWidth="1"/>
    <col min="19" max="19" width="3.90625" style="290" customWidth="1"/>
    <col min="20" max="20" width="23.54296875" style="296" customWidth="1"/>
    <col min="21" max="21" width="10" style="297" customWidth="1"/>
    <col min="22" max="22" width="10" style="294" customWidth="1"/>
    <col min="23" max="25" width="10" style="298" customWidth="1"/>
    <col min="26" max="26" width="10" style="299" customWidth="1"/>
    <col min="27" max="27" width="10" style="327" customWidth="1"/>
    <col min="28" max="28" width="13" style="300" customWidth="1"/>
    <col min="29" max="30" width="10" style="295" customWidth="1"/>
    <col min="31" max="31" width="15.08984375" style="293" customWidth="1"/>
    <col min="32" max="32" width="4.90625" style="63" customWidth="1"/>
    <col min="33" max="33" width="37.453125" style="63" customWidth="1"/>
    <col min="34" max="34" width="13.54296875" style="290" customWidth="1"/>
    <col min="35" max="35" width="3.08984375" style="63" customWidth="1"/>
    <col min="36" max="36" width="12.08984375" style="301" customWidth="1"/>
    <col min="37" max="37" width="10.54296875" style="301" customWidth="1"/>
    <col min="38" max="38" width="18" style="296" bestFit="1" customWidth="1"/>
    <col min="39" max="39" width="12.08984375" style="63" customWidth="1"/>
    <col min="40" max="40" width="11.36328125" style="302" customWidth="1"/>
    <col min="41" max="41" width="4.08984375" style="63" customWidth="1"/>
    <col min="42" max="43" width="14.453125" style="63"/>
    <col min="44" max="44" width="3.54296875" style="301" customWidth="1"/>
    <col min="45" max="45" width="10" style="301" customWidth="1"/>
    <col min="46" max="50" width="9.90625" style="303" customWidth="1"/>
    <col min="51" max="51" width="14.453125" style="301"/>
    <col min="52" max="16384" width="14.453125" style="63"/>
  </cols>
  <sheetData>
    <row r="1" spans="1:52" ht="21.5" thickBot="1" x14ac:dyDescent="0.4">
      <c r="A1" s="51"/>
      <c r="B1" s="343" t="s">
        <v>527</v>
      </c>
      <c r="C1" s="343"/>
      <c r="D1" s="52"/>
      <c r="E1" s="51"/>
      <c r="F1" s="51"/>
      <c r="G1" s="52"/>
      <c r="H1" s="53"/>
      <c r="I1" s="54"/>
      <c r="J1" s="55"/>
      <c r="K1" s="56"/>
      <c r="L1" s="57"/>
      <c r="M1" s="57"/>
      <c r="N1" s="57"/>
      <c r="O1" s="57"/>
      <c r="P1" s="57"/>
      <c r="Q1" s="57"/>
      <c r="R1" s="53"/>
      <c r="S1" s="51"/>
      <c r="T1" s="376"/>
      <c r="U1" s="58"/>
      <c r="V1" s="56"/>
      <c r="W1" s="59"/>
      <c r="X1" s="59"/>
      <c r="Y1" s="59"/>
      <c r="Z1" s="60"/>
      <c r="AA1" s="320"/>
      <c r="AB1" s="61"/>
      <c r="AC1" s="57"/>
      <c r="AD1" s="57"/>
      <c r="AE1" s="55"/>
      <c r="AF1" s="52"/>
      <c r="AG1" s="52"/>
      <c r="AH1" s="51"/>
      <c r="AI1" s="52"/>
      <c r="AJ1" s="51"/>
      <c r="AK1" s="52"/>
      <c r="AL1" s="376"/>
      <c r="AM1" s="51"/>
      <c r="AN1" s="56"/>
      <c r="AO1" s="52"/>
      <c r="AP1" s="51"/>
      <c r="AQ1" s="52"/>
      <c r="AR1" s="52"/>
      <c r="AS1" s="52"/>
      <c r="AT1" s="52"/>
      <c r="AU1" s="52"/>
      <c r="AV1" s="52"/>
      <c r="AW1" s="52"/>
      <c r="AX1" s="52"/>
      <c r="AY1" s="8"/>
      <c r="AZ1" s="62"/>
    </row>
    <row r="2" spans="1:52" x14ac:dyDescent="0.35">
      <c r="A2" s="8"/>
      <c r="B2" s="8"/>
      <c r="C2" s="8"/>
      <c r="D2" s="8"/>
      <c r="E2" s="64"/>
      <c r="F2" s="64"/>
      <c r="G2" s="8"/>
      <c r="H2" s="65"/>
      <c r="I2" s="66"/>
      <c r="J2" s="67"/>
      <c r="K2" s="68"/>
      <c r="L2" s="69"/>
      <c r="M2" s="69"/>
      <c r="N2" s="69"/>
      <c r="O2" s="69"/>
      <c r="P2" s="69"/>
      <c r="Q2" s="69"/>
      <c r="R2" s="65"/>
      <c r="S2" s="64"/>
      <c r="T2" s="70"/>
      <c r="U2" s="71"/>
      <c r="V2" s="68"/>
      <c r="W2" s="72"/>
      <c r="X2" s="72"/>
      <c r="Y2" s="72"/>
      <c r="Z2" s="73"/>
      <c r="AA2" s="321"/>
      <c r="AB2" s="74"/>
      <c r="AC2" s="69"/>
      <c r="AD2" s="69"/>
      <c r="AE2" s="67"/>
      <c r="AF2" s="8"/>
      <c r="AG2" s="8"/>
      <c r="AH2" s="64"/>
      <c r="AI2" s="8"/>
      <c r="AJ2" s="64"/>
      <c r="AK2" s="8"/>
      <c r="AL2" s="70"/>
      <c r="AM2" s="64"/>
      <c r="AN2" s="68"/>
      <c r="AO2" s="8"/>
      <c r="AP2" s="64"/>
      <c r="AQ2" s="8"/>
      <c r="AR2" s="8"/>
      <c r="AS2" s="8"/>
      <c r="AT2" s="8"/>
      <c r="AU2" s="8"/>
      <c r="AV2" s="8"/>
      <c r="AW2" s="8"/>
      <c r="AX2" s="8"/>
      <c r="AY2" s="8"/>
      <c r="AZ2" s="62"/>
    </row>
    <row r="3" spans="1:52" ht="13.5" thickBot="1" x14ac:dyDescent="0.4">
      <c r="A3" s="75"/>
      <c r="B3" s="76" t="s">
        <v>0</v>
      </c>
      <c r="C3" s="75"/>
      <c r="D3" s="75"/>
      <c r="E3" s="77"/>
      <c r="F3" s="77"/>
      <c r="G3" s="75"/>
      <c r="H3" s="78"/>
      <c r="I3" s="79"/>
      <c r="J3" s="80"/>
      <c r="K3" s="81"/>
      <c r="L3" s="82"/>
      <c r="M3" s="82"/>
      <c r="N3" s="82"/>
      <c r="O3" s="82"/>
      <c r="P3" s="82"/>
      <c r="Q3" s="82"/>
      <c r="R3" s="78"/>
      <c r="S3" s="77"/>
      <c r="T3" s="83"/>
      <c r="U3" s="84"/>
      <c r="V3" s="85"/>
      <c r="W3" s="86"/>
      <c r="X3" s="86"/>
      <c r="Y3" s="86"/>
      <c r="Z3" s="87"/>
      <c r="AA3" s="322"/>
      <c r="AB3" s="88"/>
      <c r="AC3" s="89"/>
      <c r="AD3" s="89"/>
      <c r="AE3" s="90"/>
      <c r="AF3" s="76"/>
      <c r="AG3" s="76"/>
      <c r="AH3" s="77"/>
      <c r="AI3" s="75"/>
      <c r="AJ3" s="77"/>
      <c r="AK3" s="75"/>
      <c r="AL3" s="83"/>
      <c r="AM3" s="77"/>
      <c r="AN3" s="81"/>
      <c r="AO3" s="75"/>
      <c r="AP3" s="77"/>
      <c r="AQ3" s="75"/>
      <c r="AR3" s="75"/>
      <c r="AS3" s="75"/>
      <c r="AT3" s="75"/>
      <c r="AU3" s="75"/>
      <c r="AV3" s="75"/>
      <c r="AW3" s="75"/>
      <c r="AX3" s="75"/>
      <c r="AY3" s="8"/>
      <c r="AZ3" s="62"/>
    </row>
    <row r="4" spans="1:52" ht="13.5" thickBot="1" x14ac:dyDescent="0.4">
      <c r="A4" s="8"/>
      <c r="B4" s="91"/>
      <c r="C4" s="92"/>
      <c r="D4" s="93"/>
      <c r="E4" s="94"/>
      <c r="F4" s="94"/>
      <c r="G4" s="93"/>
      <c r="H4" s="95"/>
      <c r="I4" s="96"/>
      <c r="J4" s="97"/>
      <c r="K4" s="98"/>
      <c r="L4" s="99"/>
      <c r="M4" s="99"/>
      <c r="N4" s="99"/>
      <c r="O4" s="99"/>
      <c r="P4" s="99"/>
      <c r="Q4" s="99"/>
      <c r="R4" s="95"/>
      <c r="S4" s="94"/>
      <c r="T4" s="100"/>
      <c r="U4" s="101"/>
      <c r="V4" s="98"/>
      <c r="W4" s="102"/>
      <c r="X4" s="102"/>
      <c r="Y4" s="102"/>
      <c r="Z4" s="103"/>
      <c r="AA4" s="323"/>
      <c r="AB4" s="104"/>
      <c r="AC4" s="99"/>
      <c r="AD4" s="99"/>
      <c r="AE4" s="97"/>
      <c r="AF4" s="93"/>
      <c r="AG4" s="93"/>
      <c r="AH4" s="94"/>
      <c r="AI4" s="8"/>
      <c r="AJ4" s="105"/>
      <c r="AK4" s="105"/>
      <c r="AL4" s="106"/>
      <c r="AM4" s="107"/>
      <c r="AN4" s="108"/>
      <c r="AO4" s="62"/>
      <c r="AP4" s="62"/>
      <c r="AQ4" s="62"/>
      <c r="AR4" s="109"/>
      <c r="AS4" s="8"/>
      <c r="AT4" s="64"/>
      <c r="AU4" s="64"/>
      <c r="AV4" s="64"/>
      <c r="AW4" s="64"/>
      <c r="AX4" s="64"/>
      <c r="AY4" s="8"/>
      <c r="AZ4" s="62"/>
    </row>
    <row r="5" spans="1:52" ht="24.75" customHeight="1" x14ac:dyDescent="0.35">
      <c r="A5" s="8"/>
      <c r="B5" s="1816" t="s">
        <v>979</v>
      </c>
      <c r="C5" s="8"/>
      <c r="D5" s="110" t="s">
        <v>528</v>
      </c>
      <c r="E5" s="111"/>
      <c r="F5" s="111"/>
      <c r="G5" s="112"/>
      <c r="H5" s="113"/>
      <c r="I5" s="114"/>
      <c r="J5" s="115"/>
      <c r="K5" s="116"/>
      <c r="L5" s="117"/>
      <c r="M5" s="117"/>
      <c r="N5" s="117"/>
      <c r="O5" s="117"/>
      <c r="P5" s="117"/>
      <c r="Q5" s="117"/>
      <c r="R5" s="118"/>
      <c r="S5" s="8"/>
      <c r="T5" s="110" t="s">
        <v>529</v>
      </c>
      <c r="U5" s="119"/>
      <c r="V5" s="120"/>
      <c r="W5" s="121"/>
      <c r="X5" s="121"/>
      <c r="Y5" s="121"/>
      <c r="Z5" s="121"/>
      <c r="AA5" s="122"/>
      <c r="AB5" s="122"/>
      <c r="AC5" s="123"/>
      <c r="AD5" s="123"/>
      <c r="AE5" s="124"/>
      <c r="AF5" s="105"/>
      <c r="AG5" s="125" t="s">
        <v>530</v>
      </c>
      <c r="AH5" s="126"/>
      <c r="AI5" s="8"/>
      <c r="AJ5" s="125" t="s">
        <v>531</v>
      </c>
      <c r="AK5" s="127"/>
      <c r="AL5" s="128"/>
      <c r="AM5" s="129"/>
      <c r="AN5" s="130"/>
      <c r="AO5" s="109"/>
      <c r="AP5" s="125" t="s">
        <v>532</v>
      </c>
      <c r="AQ5" s="126"/>
      <c r="AR5" s="109"/>
      <c r="AS5" s="131" t="s">
        <v>705</v>
      </c>
      <c r="AT5" s="132"/>
      <c r="AU5" s="132"/>
      <c r="AV5" s="132"/>
      <c r="AW5" s="132"/>
      <c r="AX5" s="133"/>
      <c r="AY5" s="8"/>
      <c r="AZ5" s="62"/>
    </row>
    <row r="6" spans="1:52" ht="24.75" customHeight="1" x14ac:dyDescent="0.35">
      <c r="A6" s="8"/>
      <c r="B6" s="1816"/>
      <c r="C6" s="8"/>
      <c r="D6" s="134" t="s">
        <v>119</v>
      </c>
      <c r="E6" s="135"/>
      <c r="F6" s="135"/>
      <c r="G6" s="136"/>
      <c r="H6" s="137"/>
      <c r="I6" s="138"/>
      <c r="J6" s="139"/>
      <c r="K6" s="140"/>
      <c r="L6" s="141"/>
      <c r="M6" s="141"/>
      <c r="N6" s="141"/>
      <c r="O6" s="141"/>
      <c r="P6" s="141"/>
      <c r="Q6" s="141"/>
      <c r="R6" s="142"/>
      <c r="S6" s="8"/>
      <c r="T6" s="134" t="s">
        <v>119</v>
      </c>
      <c r="U6" s="143"/>
      <c r="V6" s="144"/>
      <c r="W6" s="145"/>
      <c r="X6" s="145"/>
      <c r="Y6" s="145"/>
      <c r="Z6" s="145"/>
      <c r="AA6" s="146"/>
      <c r="AB6" s="146"/>
      <c r="AC6" s="147"/>
      <c r="AD6" s="147"/>
      <c r="AE6" s="148"/>
      <c r="AF6" s="105"/>
      <c r="AG6" s="134" t="s">
        <v>119</v>
      </c>
      <c r="AH6" s="149"/>
      <c r="AI6" s="8"/>
      <c r="AJ6" s="134" t="s">
        <v>533</v>
      </c>
      <c r="AK6" s="136"/>
      <c r="AL6" s="150"/>
      <c r="AM6" s="151"/>
      <c r="AN6" s="152"/>
      <c r="AO6" s="109"/>
      <c r="AP6" s="134" t="s">
        <v>533</v>
      </c>
      <c r="AQ6" s="149"/>
      <c r="AR6" s="109"/>
      <c r="AS6" s="153" t="s">
        <v>706</v>
      </c>
      <c r="AT6" s="154"/>
      <c r="AU6" s="154"/>
      <c r="AV6" s="154"/>
      <c r="AW6" s="154"/>
      <c r="AX6" s="155"/>
      <c r="AY6" s="8"/>
      <c r="AZ6" s="62"/>
    </row>
    <row r="7" spans="1:52" x14ac:dyDescent="0.35">
      <c r="A7" s="8"/>
      <c r="B7" s="1816"/>
      <c r="C7" s="8"/>
      <c r="D7" s="156" t="s">
        <v>681</v>
      </c>
      <c r="E7" s="135"/>
      <c r="F7" s="135"/>
      <c r="G7" s="136"/>
      <c r="H7" s="137"/>
      <c r="I7" s="138"/>
      <c r="J7" s="139"/>
      <c r="K7" s="140"/>
      <c r="L7" s="141"/>
      <c r="M7" s="141"/>
      <c r="N7" s="141"/>
      <c r="O7" s="141"/>
      <c r="P7" s="141"/>
      <c r="Q7" s="141"/>
      <c r="R7" s="142"/>
      <c r="S7" s="8"/>
      <c r="T7" s="156" t="s">
        <v>534</v>
      </c>
      <c r="U7" s="157"/>
      <c r="V7" s="144"/>
      <c r="W7" s="145"/>
      <c r="X7" s="145"/>
      <c r="Y7" s="145"/>
      <c r="Z7" s="145"/>
      <c r="AA7" s="146"/>
      <c r="AB7" s="146"/>
      <c r="AC7" s="147"/>
      <c r="AD7" s="147"/>
      <c r="AE7" s="148"/>
      <c r="AF7" s="105"/>
      <c r="AG7" s="158" t="s">
        <v>535</v>
      </c>
      <c r="AH7" s="149"/>
      <c r="AI7" s="8"/>
      <c r="AJ7" s="159"/>
      <c r="AK7" s="160"/>
      <c r="AL7" s="150"/>
      <c r="AM7" s="151"/>
      <c r="AN7" s="152"/>
      <c r="AO7" s="109"/>
      <c r="AP7" s="156"/>
      <c r="AQ7" s="149"/>
      <c r="AR7" s="109"/>
      <c r="AS7" s="153"/>
      <c r="AT7" s="154"/>
      <c r="AU7" s="154"/>
      <c r="AV7" s="154"/>
      <c r="AW7" s="154"/>
      <c r="AX7" s="155"/>
      <c r="AY7" s="8"/>
      <c r="AZ7" s="62"/>
    </row>
    <row r="8" spans="1:52" x14ac:dyDescent="0.35">
      <c r="A8" s="8"/>
      <c r="B8" s="1816"/>
      <c r="C8" s="8"/>
      <c r="D8" s="156" t="str">
        <f>HYPERLINK("https://www.eia.gov/consumption/residential/data/2015/index.php?view=consumption#summary","RECS: Annual household site fuel Consumption 2015")</f>
        <v>RECS: Annual household site fuel Consumption 2015</v>
      </c>
      <c r="E8" s="135"/>
      <c r="F8" s="135"/>
      <c r="G8" s="136"/>
      <c r="H8" s="137"/>
      <c r="I8" s="138"/>
      <c r="J8" s="139"/>
      <c r="K8" s="140"/>
      <c r="L8" s="141"/>
      <c r="M8" s="141"/>
      <c r="N8" s="141"/>
      <c r="O8" s="141"/>
      <c r="P8" s="141"/>
      <c r="Q8" s="141"/>
      <c r="R8" s="142"/>
      <c r="S8" s="8"/>
      <c r="T8" s="156" t="s">
        <v>536</v>
      </c>
      <c r="U8" s="157"/>
      <c r="V8" s="144"/>
      <c r="W8" s="145"/>
      <c r="X8" s="145"/>
      <c r="Y8" s="145"/>
      <c r="Z8" s="145"/>
      <c r="AA8" s="146"/>
      <c r="AB8" s="146"/>
      <c r="AC8" s="147"/>
      <c r="AD8" s="147"/>
      <c r="AE8" s="148"/>
      <c r="AF8" s="105"/>
      <c r="AG8" s="156"/>
      <c r="AH8" s="149"/>
      <c r="AI8" s="8"/>
      <c r="AJ8" s="159"/>
      <c r="AK8" s="160"/>
      <c r="AL8" s="150"/>
      <c r="AM8" s="151"/>
      <c r="AN8" s="152"/>
      <c r="AO8" s="109"/>
      <c r="AP8" s="156"/>
      <c r="AQ8" s="149"/>
      <c r="AR8" s="109"/>
      <c r="AS8" s="153"/>
      <c r="AT8" s="154"/>
      <c r="AU8" s="154"/>
      <c r="AV8" s="154"/>
      <c r="AW8" s="154"/>
      <c r="AX8" s="155"/>
      <c r="AY8" s="8"/>
      <c r="AZ8" s="62"/>
    </row>
    <row r="9" spans="1:52" x14ac:dyDescent="0.35">
      <c r="A9" s="8"/>
      <c r="B9" s="1816"/>
      <c r="C9" s="8"/>
      <c r="D9" s="156" t="s">
        <v>537</v>
      </c>
      <c r="E9" s="135"/>
      <c r="F9" s="135"/>
      <c r="G9" s="136"/>
      <c r="H9" s="137"/>
      <c r="I9" s="138"/>
      <c r="J9" s="139"/>
      <c r="K9" s="140"/>
      <c r="L9" s="141"/>
      <c r="M9" s="141"/>
      <c r="N9" s="141"/>
      <c r="O9" s="141"/>
      <c r="P9" s="141"/>
      <c r="Q9" s="141"/>
      <c r="R9" s="142"/>
      <c r="S9" s="8"/>
      <c r="T9" s="156" t="s">
        <v>538</v>
      </c>
      <c r="U9" s="157"/>
      <c r="V9" s="144"/>
      <c r="W9" s="145"/>
      <c r="X9" s="145"/>
      <c r="Y9" s="145"/>
      <c r="Z9" s="145"/>
      <c r="AA9" s="146"/>
      <c r="AB9" s="146"/>
      <c r="AC9" s="147"/>
      <c r="AD9" s="147"/>
      <c r="AE9" s="148"/>
      <c r="AF9" s="105"/>
      <c r="AG9" s="161"/>
      <c r="AH9" s="149"/>
      <c r="AI9" s="8"/>
      <c r="AJ9" s="162"/>
      <c r="AK9" s="163"/>
      <c r="AL9" s="150"/>
      <c r="AM9" s="151"/>
      <c r="AN9" s="152"/>
      <c r="AO9" s="109"/>
      <c r="AP9" s="161"/>
      <c r="AQ9" s="149"/>
      <c r="AR9" s="109"/>
      <c r="AS9" s="153"/>
      <c r="AT9" s="154"/>
      <c r="AU9" s="154"/>
      <c r="AV9" s="154"/>
      <c r="AW9" s="154"/>
      <c r="AX9" s="155"/>
      <c r="AY9" s="8"/>
      <c r="AZ9" s="62"/>
    </row>
    <row r="10" spans="1:52" x14ac:dyDescent="0.35">
      <c r="A10" s="8"/>
      <c r="B10" s="1816"/>
      <c r="C10" s="8"/>
      <c r="D10" s="156" t="s">
        <v>539</v>
      </c>
      <c r="E10" s="135"/>
      <c r="F10" s="135"/>
      <c r="G10" s="136"/>
      <c r="H10" s="137"/>
      <c r="I10" s="138"/>
      <c r="J10" s="139"/>
      <c r="K10" s="140"/>
      <c r="L10" s="141"/>
      <c r="M10" s="141"/>
      <c r="N10" s="141"/>
      <c r="O10" s="141"/>
      <c r="P10" s="141"/>
      <c r="Q10" s="141"/>
      <c r="R10" s="142"/>
      <c r="S10" s="8"/>
      <c r="T10" s="156" t="s">
        <v>540</v>
      </c>
      <c r="U10" s="157"/>
      <c r="V10" s="144"/>
      <c r="W10" s="145"/>
      <c r="X10" s="145"/>
      <c r="Y10" s="145"/>
      <c r="Z10" s="145"/>
      <c r="AA10" s="146"/>
      <c r="AB10" s="146"/>
      <c r="AC10" s="147"/>
      <c r="AD10" s="147"/>
      <c r="AE10" s="148"/>
      <c r="AF10" s="105"/>
      <c r="AG10" s="161"/>
      <c r="AH10" s="149"/>
      <c r="AI10" s="8"/>
      <c r="AJ10" s="162"/>
      <c r="AK10" s="163"/>
      <c r="AL10" s="150"/>
      <c r="AM10" s="151"/>
      <c r="AN10" s="152"/>
      <c r="AO10" s="109"/>
      <c r="AP10" s="161"/>
      <c r="AQ10" s="149"/>
      <c r="AR10" s="109"/>
      <c r="AS10" s="153"/>
      <c r="AT10" s="154"/>
      <c r="AU10" s="154"/>
      <c r="AV10" s="154"/>
      <c r="AW10" s="154"/>
      <c r="AX10" s="155"/>
      <c r="AY10" s="8"/>
      <c r="AZ10" s="62"/>
    </row>
    <row r="11" spans="1:52" x14ac:dyDescent="0.35">
      <c r="A11" s="8"/>
      <c r="B11" s="1816"/>
      <c r="C11" s="8"/>
      <c r="D11" s="156"/>
      <c r="E11" s="135"/>
      <c r="F11" s="135"/>
      <c r="G11" s="136"/>
      <c r="H11" s="137"/>
      <c r="I11" s="138"/>
      <c r="J11" s="139"/>
      <c r="K11" s="140"/>
      <c r="L11" s="141"/>
      <c r="M11" s="141"/>
      <c r="N11" s="141"/>
      <c r="O11" s="141"/>
      <c r="P11" s="141"/>
      <c r="Q11" s="141"/>
      <c r="R11" s="142"/>
      <c r="S11" s="8"/>
      <c r="T11" s="156" t="s">
        <v>541</v>
      </c>
      <c r="U11" s="157"/>
      <c r="V11" s="144"/>
      <c r="W11" s="145"/>
      <c r="X11" s="145"/>
      <c r="Y11" s="145"/>
      <c r="Z11" s="145"/>
      <c r="AA11" s="146"/>
      <c r="AB11" s="146"/>
      <c r="AC11" s="147"/>
      <c r="AD11" s="147"/>
      <c r="AE11" s="148"/>
      <c r="AF11" s="105"/>
      <c r="AG11" s="161"/>
      <c r="AH11" s="149"/>
      <c r="AI11" s="8"/>
      <c r="AJ11" s="161"/>
      <c r="AK11" s="163"/>
      <c r="AL11" s="150"/>
      <c r="AM11" s="151"/>
      <c r="AN11" s="152"/>
      <c r="AO11" s="109"/>
      <c r="AP11" s="161"/>
      <c r="AQ11" s="149"/>
      <c r="AR11" s="109"/>
      <c r="AS11" s="153"/>
      <c r="AT11" s="154"/>
      <c r="AU11" s="154"/>
      <c r="AV11" s="154"/>
      <c r="AW11" s="154"/>
      <c r="AX11" s="155"/>
      <c r="AY11" s="8"/>
      <c r="AZ11" s="62"/>
    </row>
    <row r="12" spans="1:52" x14ac:dyDescent="0.35">
      <c r="A12" s="8"/>
      <c r="B12" s="1816"/>
      <c r="C12" s="8"/>
      <c r="D12" s="156"/>
      <c r="E12" s="135"/>
      <c r="F12" s="135"/>
      <c r="G12" s="136"/>
      <c r="H12" s="137"/>
      <c r="I12" s="138"/>
      <c r="J12" s="139"/>
      <c r="K12" s="140"/>
      <c r="L12" s="141"/>
      <c r="M12" s="141"/>
      <c r="N12" s="141"/>
      <c r="O12" s="141"/>
      <c r="P12" s="141"/>
      <c r="Q12" s="141"/>
      <c r="R12" s="142"/>
      <c r="S12" s="8"/>
      <c r="T12" s="156" t="s">
        <v>542</v>
      </c>
      <c r="U12" s="157"/>
      <c r="V12" s="144"/>
      <c r="W12" s="145"/>
      <c r="X12" s="145"/>
      <c r="Y12" s="145"/>
      <c r="Z12" s="145"/>
      <c r="AA12" s="146"/>
      <c r="AB12" s="146"/>
      <c r="AC12" s="147"/>
      <c r="AD12" s="147"/>
      <c r="AE12" s="148"/>
      <c r="AF12" s="105"/>
      <c r="AG12" s="161"/>
      <c r="AH12" s="149"/>
      <c r="AI12" s="8"/>
      <c r="AJ12" s="161"/>
      <c r="AK12" s="163"/>
      <c r="AL12" s="150"/>
      <c r="AM12" s="151"/>
      <c r="AN12" s="152"/>
      <c r="AO12" s="109"/>
      <c r="AP12" s="161"/>
      <c r="AQ12" s="149"/>
      <c r="AR12" s="109"/>
      <c r="AS12" s="153"/>
      <c r="AT12" s="154"/>
      <c r="AU12" s="154"/>
      <c r="AV12" s="154"/>
      <c r="AW12" s="154"/>
      <c r="AX12" s="155"/>
      <c r="AY12" s="8"/>
      <c r="AZ12" s="62"/>
    </row>
    <row r="13" spans="1:52" x14ac:dyDescent="0.35">
      <c r="A13" s="8"/>
      <c r="B13" s="1816"/>
      <c r="C13" s="8"/>
      <c r="D13" s="156"/>
      <c r="E13" s="135"/>
      <c r="F13" s="135"/>
      <c r="G13" s="136"/>
      <c r="H13" s="137"/>
      <c r="I13" s="138"/>
      <c r="J13" s="139"/>
      <c r="K13" s="140"/>
      <c r="L13" s="141"/>
      <c r="M13" s="141"/>
      <c r="N13" s="141"/>
      <c r="O13" s="141"/>
      <c r="P13" s="141"/>
      <c r="Q13" s="141"/>
      <c r="R13" s="142"/>
      <c r="S13" s="8"/>
      <c r="T13" s="156" t="s">
        <v>543</v>
      </c>
      <c r="U13" s="157"/>
      <c r="V13" s="144"/>
      <c r="W13" s="145"/>
      <c r="X13" s="145"/>
      <c r="Y13" s="145"/>
      <c r="Z13" s="145"/>
      <c r="AA13" s="146"/>
      <c r="AB13" s="146"/>
      <c r="AC13" s="147"/>
      <c r="AD13" s="147"/>
      <c r="AE13" s="148"/>
      <c r="AF13" s="105"/>
      <c r="AG13" s="161"/>
      <c r="AH13" s="149"/>
      <c r="AI13" s="8"/>
      <c r="AJ13" s="161"/>
      <c r="AK13" s="163"/>
      <c r="AL13" s="150"/>
      <c r="AM13" s="151"/>
      <c r="AN13" s="152"/>
      <c r="AO13" s="109"/>
      <c r="AP13" s="161"/>
      <c r="AQ13" s="149"/>
      <c r="AR13" s="109"/>
      <c r="AS13" s="153"/>
      <c r="AT13" s="154"/>
      <c r="AU13" s="154"/>
      <c r="AV13" s="154"/>
      <c r="AW13" s="154"/>
      <c r="AX13" s="155"/>
      <c r="AY13" s="8"/>
      <c r="AZ13" s="62"/>
    </row>
    <row r="14" spans="1:52" x14ac:dyDescent="0.35">
      <c r="A14" s="8"/>
      <c r="B14" s="1816"/>
      <c r="C14" s="8"/>
      <c r="D14" s="156"/>
      <c r="E14" s="135"/>
      <c r="F14" s="135"/>
      <c r="G14" s="136"/>
      <c r="H14" s="137"/>
      <c r="I14" s="138"/>
      <c r="J14" s="139"/>
      <c r="K14" s="140"/>
      <c r="L14" s="141"/>
      <c r="M14" s="141"/>
      <c r="N14" s="141"/>
      <c r="O14" s="141"/>
      <c r="P14" s="141"/>
      <c r="Q14" s="141"/>
      <c r="R14" s="142"/>
      <c r="S14" s="8"/>
      <c r="T14" s="156"/>
      <c r="U14" s="157"/>
      <c r="V14" s="144"/>
      <c r="W14" s="145"/>
      <c r="X14" s="145"/>
      <c r="Y14" s="145"/>
      <c r="Z14" s="145"/>
      <c r="AA14" s="146"/>
      <c r="AB14" s="146"/>
      <c r="AC14" s="147"/>
      <c r="AD14" s="147"/>
      <c r="AE14" s="148"/>
      <c r="AF14" s="105"/>
      <c r="AG14" s="161"/>
      <c r="AH14" s="149"/>
      <c r="AI14" s="8"/>
      <c r="AJ14" s="161"/>
      <c r="AK14" s="163"/>
      <c r="AL14" s="150"/>
      <c r="AM14" s="151"/>
      <c r="AN14" s="152"/>
      <c r="AO14" s="109"/>
      <c r="AP14" s="161"/>
      <c r="AQ14" s="149"/>
      <c r="AR14" s="109"/>
      <c r="AS14" s="153"/>
      <c r="AT14" s="154"/>
      <c r="AU14" s="154"/>
      <c r="AV14" s="154"/>
      <c r="AW14" s="154"/>
      <c r="AX14" s="155"/>
      <c r="AY14" s="8"/>
      <c r="AZ14" s="62"/>
    </row>
    <row r="15" spans="1:52" ht="53.25" customHeight="1" x14ac:dyDescent="0.35">
      <c r="A15" s="8"/>
      <c r="B15" s="1816"/>
      <c r="C15" s="8"/>
      <c r="D15" s="164" t="s">
        <v>192</v>
      </c>
      <c r="E15" s="165" t="s">
        <v>544</v>
      </c>
      <c r="F15" s="165" t="s">
        <v>545</v>
      </c>
      <c r="G15" s="166" t="s">
        <v>546</v>
      </c>
      <c r="H15" s="167" t="str">
        <f>AS:AS</f>
        <v>Water Use Type</v>
      </c>
      <c r="I15" s="168" t="s">
        <v>547</v>
      </c>
      <c r="J15" s="169" t="str">
        <f>AE:AE</f>
        <v>Emissions Factor
(kg-CO2e/kBtu)
(?)</v>
      </c>
      <c r="K15" s="170" t="s">
        <v>548</v>
      </c>
      <c r="L15" s="171" t="str">
        <f>AC:AC</f>
        <v>Water Use Intensity (Gal/sf/yr)</v>
      </c>
      <c r="M15" s="167" t="str">
        <f>AT:AT</f>
        <v>Toilet
(#/person/day)</v>
      </c>
      <c r="N15" s="167" t="str">
        <f>AU:AU</f>
        <v>Urinal
(#/person/day)</v>
      </c>
      <c r="O15" s="167" t="str">
        <f>AV:AV</f>
        <v>Shower
(min/person/day)</v>
      </c>
      <c r="P15" s="167" t="str">
        <f>AW:AW</f>
        <v>Lavatory
(min/person/day)</v>
      </c>
      <c r="Q15" s="167" t="str">
        <f>AX:AX</f>
        <v>Kitchen Faucet
(min/person/day)</v>
      </c>
      <c r="R15" s="172"/>
      <c r="S15" s="8"/>
      <c r="T15" s="173" t="s">
        <v>546</v>
      </c>
      <c r="U15" s="174" t="s">
        <v>549</v>
      </c>
      <c r="V15" s="175" t="s">
        <v>550</v>
      </c>
      <c r="W15" s="176" t="s">
        <v>551</v>
      </c>
      <c r="X15" s="176" t="s">
        <v>344</v>
      </c>
      <c r="Y15" s="176" t="s">
        <v>553</v>
      </c>
      <c r="Z15" s="176" t="s">
        <v>554</v>
      </c>
      <c r="AA15" s="324" t="s">
        <v>552</v>
      </c>
      <c r="AB15" s="169" t="s">
        <v>676</v>
      </c>
      <c r="AC15" s="171" t="s">
        <v>555</v>
      </c>
      <c r="AD15" s="171" t="s">
        <v>1152</v>
      </c>
      <c r="AE15" s="177" t="s">
        <v>682</v>
      </c>
      <c r="AF15" s="105"/>
      <c r="AG15" s="178" t="s">
        <v>557</v>
      </c>
      <c r="AH15" s="179" t="s">
        <v>556</v>
      </c>
      <c r="AI15" s="8"/>
      <c r="AJ15" s="178" t="s">
        <v>558</v>
      </c>
      <c r="AK15" s="180" t="s">
        <v>138</v>
      </c>
      <c r="AL15" s="181" t="s">
        <v>559</v>
      </c>
      <c r="AM15" s="182" t="s">
        <v>560</v>
      </c>
      <c r="AN15" s="183" t="s">
        <v>561</v>
      </c>
      <c r="AO15" s="109"/>
      <c r="AP15" s="178" t="s">
        <v>12</v>
      </c>
      <c r="AQ15" s="184" t="s">
        <v>558</v>
      </c>
      <c r="AR15" s="109"/>
      <c r="AS15" s="185" t="s">
        <v>562</v>
      </c>
      <c r="AT15" s="186" t="s">
        <v>563</v>
      </c>
      <c r="AU15" s="186" t="s">
        <v>564</v>
      </c>
      <c r="AV15" s="186" t="s">
        <v>565</v>
      </c>
      <c r="AW15" s="186" t="s">
        <v>566</v>
      </c>
      <c r="AX15" s="187" t="s">
        <v>567</v>
      </c>
      <c r="AY15" s="8"/>
      <c r="AZ15" s="62"/>
    </row>
    <row r="16" spans="1:52" ht="25.5" customHeight="1" x14ac:dyDescent="0.35">
      <c r="A16" s="8"/>
      <c r="B16" s="1816"/>
      <c r="C16" s="8"/>
      <c r="D16" s="188" t="s">
        <v>568</v>
      </c>
      <c r="E16" s="189"/>
      <c r="F16" s="189"/>
      <c r="G16" s="190"/>
      <c r="H16" s="191"/>
      <c r="I16" s="192"/>
      <c r="J16" s="192">
        <f>MATCH($15:$15,Building_Category_Column_Headers,0)</f>
        <v>12</v>
      </c>
      <c r="K16" s="193"/>
      <c r="L16" s="192">
        <f>MATCH($15:$15,Building_Category_Column_Headers,0)</f>
        <v>10</v>
      </c>
      <c r="M16" s="192">
        <f>MATCH(15:15,Fixture_Usage_Column_Headers,0)</f>
        <v>2</v>
      </c>
      <c r="N16" s="192">
        <f>MATCH(15:15,Fixture_Usage_Column_Headers,0)</f>
        <v>3</v>
      </c>
      <c r="O16" s="192">
        <f>MATCH(15:15,Fixture_Usage_Column_Headers,0)</f>
        <v>4</v>
      </c>
      <c r="P16" s="192">
        <f>MATCH(15:15,Fixture_Usage_Column_Headers,0)</f>
        <v>5</v>
      </c>
      <c r="Q16" s="192">
        <f>MATCH(15:15,Fixture_Usage_Column_Headers,0)</f>
        <v>6</v>
      </c>
      <c r="R16" s="194"/>
      <c r="S16" s="8"/>
      <c r="T16" s="195" t="s">
        <v>569</v>
      </c>
      <c r="U16" s="196"/>
      <c r="V16" s="197"/>
      <c r="W16" s="307">
        <f>VLOOKUP(15:15,Fuel_Source_Carbon_Table,2,FALSE)</f>
        <v>0.11330763094921563</v>
      </c>
      <c r="X16" s="307">
        <f>VLOOKUP(15:15,Fuel_Source_Carbon_Table,2,FALSE)</f>
        <v>5.3109999999999997E-2</v>
      </c>
      <c r="Y16" s="307">
        <f>VLOOKUP(15:15,Fuel_Source_Carbon_Table,2,FALSE)</f>
        <v>7.4209999999999998E-2</v>
      </c>
      <c r="Z16" s="307">
        <f>VLOOKUP(15:15,Fuel_Source_Carbon_Table,2,FALSE)</f>
        <v>6.6400000000000001E-2</v>
      </c>
      <c r="AA16" s="325">
        <f>VLOOKUP(15:15,Fuel_Source_Carbon_Table,2,FALSE)</f>
        <v>6.4250000000000002E-2</v>
      </c>
      <c r="AB16" s="198"/>
      <c r="AC16" s="199"/>
      <c r="AD16" s="199"/>
      <c r="AE16" s="200"/>
      <c r="AF16" s="105"/>
      <c r="AG16" s="201"/>
      <c r="AH16" s="202"/>
      <c r="AI16" s="8"/>
      <c r="AJ16" s="203" t="str">
        <f>Region</f>
        <v/>
      </c>
      <c r="AK16" s="204">
        <f>Site_Environment</f>
        <v>0</v>
      </c>
      <c r="AL16" s="204" t="str">
        <f t="shared" ref="AL16:AL28" si="0">_xlfn.CONCAT(_xlfn.SINGLE(AJ:AJ)," - ",_xlfn.SINGLE(AK:AK))</f>
        <v xml:space="preserve"> - 0</v>
      </c>
      <c r="AM16" s="205">
        <f>IFERROR(VLOOKUP(AL:AL,AL17:AM30,2),0)</f>
        <v>0</v>
      </c>
      <c r="AN16" s="206">
        <f>IFERROR(AM:AM/Area_Building,0)</f>
        <v>0</v>
      </c>
      <c r="AO16" s="109"/>
      <c r="AP16" s="203">
        <f>State</f>
        <v>0</v>
      </c>
      <c r="AQ16" s="207" t="str">
        <f>IFERROR(VLOOKUP(AP:AP,State_Region_Table,2,FALSE),"")</f>
        <v/>
      </c>
      <c r="AR16" s="109"/>
      <c r="AS16" s="208"/>
      <c r="AT16" s="209"/>
      <c r="AU16" s="209"/>
      <c r="AV16" s="209"/>
      <c r="AW16" s="209"/>
      <c r="AX16" s="210"/>
      <c r="AY16" s="8"/>
      <c r="AZ16" s="62"/>
    </row>
    <row r="17" spans="1:52" x14ac:dyDescent="0.3">
      <c r="A17" s="8"/>
      <c r="B17" s="1816"/>
      <c r="C17" s="8"/>
      <c r="D17" s="211" t="s">
        <v>570</v>
      </c>
      <c r="E17" s="212">
        <v>77</v>
      </c>
      <c r="F17" s="212">
        <v>1</v>
      </c>
      <c r="G17" s="213" t="s">
        <v>207</v>
      </c>
      <c r="H17" s="214" t="s">
        <v>205</v>
      </c>
      <c r="I17" s="215">
        <f t="shared" ref="I17:I57" si="1">IF(_xlfn.SINGLE(E:E)&lt;&gt;"",_xlfn.SINGLE(E:E),Residential_EUI_Benchmark)</f>
        <v>77</v>
      </c>
      <c r="J17" s="216">
        <f t="shared" ref="J17:J57" si="2">VLOOKUP(_xlfn.SINGLE($G:$G),Building_Category_Table, _xlfn.SINGLE($16:$16), FALSE)</f>
        <v>9.6189381721763209E-2</v>
      </c>
      <c r="K17" s="217">
        <f t="shared" ref="K17:K57" si="3">$I:$I*$J:$J</f>
        <v>7.4065823925757668</v>
      </c>
      <c r="L17" s="218">
        <f t="shared" ref="L17:L57" si="4">VLOOKUP(_xlfn.SINGLE($G:$G),Building_Category_Table, _xlfn.SINGLE($16:$16), FALSE)</f>
        <v>14.5</v>
      </c>
      <c r="M17" s="215">
        <f t="shared" ref="M17:Q26" si="5">VLOOKUP($H:$H,Fixture_Usage_Table,$16:$16, FALSE)</f>
        <v>2</v>
      </c>
      <c r="N17" s="215">
        <f t="shared" si="5"/>
        <v>1</v>
      </c>
      <c r="O17" s="218">
        <f t="shared" si="5"/>
        <v>0.5</v>
      </c>
      <c r="P17" s="218">
        <f t="shared" si="5"/>
        <v>1.5</v>
      </c>
      <c r="Q17" s="217">
        <f t="shared" si="5"/>
        <v>0.25</v>
      </c>
      <c r="R17" s="219"/>
      <c r="S17" s="8"/>
      <c r="T17" s="211" t="s">
        <v>195</v>
      </c>
      <c r="U17" s="220"/>
      <c r="V17" s="221">
        <v>14.6</v>
      </c>
      <c r="W17" s="318">
        <v>0.5439429928741093</v>
      </c>
      <c r="X17" s="318">
        <v>0.34560570071258906</v>
      </c>
      <c r="Y17" s="318">
        <v>3.3254156769596199E-2</v>
      </c>
      <c r="Z17" s="319">
        <v>7.7197149643705457E-2</v>
      </c>
      <c r="AA17" s="318">
        <v>0</v>
      </c>
      <c r="AB17" s="224">
        <f t="shared" ref="AB17:AB34" si="6">1-SUM(W17:Z17)</f>
        <v>0</v>
      </c>
      <c r="AC17" s="218">
        <f t="shared" ref="AC17:AC34" si="7">IFERROR(IF(V:V&lt;&gt;"",V:V,U:U/Area_Building),0)</f>
        <v>14.6</v>
      </c>
      <c r="AD17" s="218"/>
      <c r="AE17" s="225">
        <f t="shared" ref="AE17:AE34" si="8">W:W*$W$16+X:X*$X$16+AA:AA*$AA$16+Y:Y*$Y$16+Z:Z*$Z$16/(W16+X16+AA16+Y16+Z16)</f>
        <v>9.6261887184475189E-2</v>
      </c>
      <c r="AF17" s="105"/>
      <c r="AG17" s="226" t="s">
        <v>551</v>
      </c>
      <c r="AH17" s="227">
        <f>Carbon_per_mWh_Electricity_eGrid/7522</f>
        <v>0.11330763094921563</v>
      </c>
      <c r="AI17" s="8"/>
      <c r="AJ17" s="211" t="s">
        <v>571</v>
      </c>
      <c r="AK17" s="228" t="s">
        <v>572</v>
      </c>
      <c r="AL17" s="229" t="str">
        <f t="shared" si="0"/>
        <v>Midwest - Rural</v>
      </c>
      <c r="AM17" s="230">
        <v>111300</v>
      </c>
      <c r="AN17" s="231"/>
      <c r="AO17" s="109"/>
      <c r="AP17" s="232" t="s">
        <v>577</v>
      </c>
      <c r="AQ17" s="233" t="s">
        <v>370</v>
      </c>
      <c r="AR17" s="109"/>
      <c r="AS17" s="234" t="s">
        <v>205</v>
      </c>
      <c r="AT17" s="235">
        <v>2</v>
      </c>
      <c r="AU17" s="235">
        <v>1</v>
      </c>
      <c r="AV17" s="235">
        <v>0.5</v>
      </c>
      <c r="AW17" s="235">
        <v>1.5</v>
      </c>
      <c r="AX17" s="236">
        <v>0.25</v>
      </c>
      <c r="AY17" s="8"/>
      <c r="AZ17" s="62"/>
    </row>
    <row r="18" spans="1:52" s="242" customFormat="1" x14ac:dyDescent="0.3">
      <c r="A18" s="352"/>
      <c r="B18" s="1816"/>
      <c r="C18" s="352"/>
      <c r="D18" s="211" t="s">
        <v>574</v>
      </c>
      <c r="E18" s="212">
        <v>52</v>
      </c>
      <c r="F18" s="212">
        <v>1.2</v>
      </c>
      <c r="G18" s="213" t="s">
        <v>575</v>
      </c>
      <c r="H18" s="214" t="s">
        <v>205</v>
      </c>
      <c r="I18" s="215">
        <f t="shared" si="1"/>
        <v>52</v>
      </c>
      <c r="J18" s="216">
        <f t="shared" si="2"/>
        <v>9.0286580231321467E-2</v>
      </c>
      <c r="K18" s="217">
        <f t="shared" si="3"/>
        <v>4.6949021720287165</v>
      </c>
      <c r="L18" s="218">
        <f t="shared" si="4"/>
        <v>26.2</v>
      </c>
      <c r="M18" s="215">
        <f t="shared" si="5"/>
        <v>2</v>
      </c>
      <c r="N18" s="215">
        <f t="shared" si="5"/>
        <v>1</v>
      </c>
      <c r="O18" s="218">
        <f t="shared" si="5"/>
        <v>0.5</v>
      </c>
      <c r="P18" s="218">
        <f t="shared" si="5"/>
        <v>1.5</v>
      </c>
      <c r="Q18" s="217">
        <f t="shared" si="5"/>
        <v>0.25</v>
      </c>
      <c r="R18" s="219"/>
      <c r="S18" s="352"/>
      <c r="T18" s="211" t="s">
        <v>197</v>
      </c>
      <c r="U18" s="220"/>
      <c r="V18" s="221">
        <v>11.3</v>
      </c>
      <c r="W18" s="318">
        <v>0.66</v>
      </c>
      <c r="X18" s="318">
        <v>0.34</v>
      </c>
      <c r="Y18" s="318"/>
      <c r="Z18" s="319"/>
      <c r="AA18" s="318">
        <v>0</v>
      </c>
      <c r="AB18" s="224">
        <f t="shared" si="6"/>
        <v>0</v>
      </c>
      <c r="AC18" s="218">
        <f t="shared" si="7"/>
        <v>11.3</v>
      </c>
      <c r="AD18" s="218"/>
      <c r="AE18" s="225">
        <f t="shared" si="8"/>
        <v>9.284043642648232E-2</v>
      </c>
      <c r="AF18" s="237"/>
      <c r="AG18" s="226" t="s">
        <v>1040</v>
      </c>
      <c r="AH18" s="239">
        <f>95.05/1000</f>
        <v>9.5049999999999996E-2</v>
      </c>
      <c r="AI18" s="352"/>
      <c r="AJ18" s="211" t="s">
        <v>571</v>
      </c>
      <c r="AK18" s="228" t="s">
        <v>576</v>
      </c>
      <c r="AL18" s="229" t="str">
        <f t="shared" si="0"/>
        <v>Midwest - Suburban</v>
      </c>
      <c r="AM18" s="230">
        <v>112800</v>
      </c>
      <c r="AN18" s="231"/>
      <c r="AO18" s="240"/>
      <c r="AP18" s="232" t="s">
        <v>573</v>
      </c>
      <c r="AQ18" s="233" t="s">
        <v>369</v>
      </c>
      <c r="AR18" s="240"/>
      <c r="AS18" s="234" t="s">
        <v>578</v>
      </c>
      <c r="AT18" s="235">
        <v>5</v>
      </c>
      <c r="AU18" s="235">
        <v>0</v>
      </c>
      <c r="AV18" s="235">
        <v>8</v>
      </c>
      <c r="AW18" s="235">
        <v>5</v>
      </c>
      <c r="AX18" s="236">
        <v>4</v>
      </c>
      <c r="AY18" s="352"/>
      <c r="AZ18" s="241"/>
    </row>
    <row r="19" spans="1:52" ht="12.75" customHeight="1" x14ac:dyDescent="0.3">
      <c r="A19" s="8"/>
      <c r="B19" s="1816"/>
      <c r="C19" s="8"/>
      <c r="D19" s="211" t="s">
        <v>579</v>
      </c>
      <c r="E19" s="212">
        <v>66</v>
      </c>
      <c r="F19" s="212">
        <v>1.1000000000000001</v>
      </c>
      <c r="G19" s="213" t="s">
        <v>575</v>
      </c>
      <c r="H19" s="214" t="s">
        <v>205</v>
      </c>
      <c r="I19" s="215">
        <f t="shared" si="1"/>
        <v>66</v>
      </c>
      <c r="J19" s="216">
        <f t="shared" si="2"/>
        <v>9.0286580231321467E-2</v>
      </c>
      <c r="K19" s="217">
        <f t="shared" si="3"/>
        <v>5.9589142952672169</v>
      </c>
      <c r="L19" s="218">
        <f t="shared" si="4"/>
        <v>26.2</v>
      </c>
      <c r="M19" s="215">
        <f t="shared" si="5"/>
        <v>2</v>
      </c>
      <c r="N19" s="215">
        <f t="shared" si="5"/>
        <v>1</v>
      </c>
      <c r="O19" s="218">
        <f t="shared" si="5"/>
        <v>0.5</v>
      </c>
      <c r="P19" s="218">
        <f t="shared" si="5"/>
        <v>1.5</v>
      </c>
      <c r="Q19" s="217">
        <f t="shared" si="5"/>
        <v>0.25</v>
      </c>
      <c r="R19" s="219"/>
      <c r="S19" s="8"/>
      <c r="T19" s="211" t="s">
        <v>580</v>
      </c>
      <c r="U19" s="220"/>
      <c r="V19" s="221">
        <v>23.7</v>
      </c>
      <c r="W19" s="318">
        <v>0.79389312977099236</v>
      </c>
      <c r="X19" s="318">
        <v>0.20229007633587787</v>
      </c>
      <c r="Y19" s="318"/>
      <c r="Z19" s="319"/>
      <c r="AA19" s="318">
        <v>0</v>
      </c>
      <c r="AB19" s="224">
        <f t="shared" si="6"/>
        <v>3.8167938931297218E-3</v>
      </c>
      <c r="AC19" s="218">
        <f t="shared" si="7"/>
        <v>23.7</v>
      </c>
      <c r="AD19" s="218"/>
      <c r="AE19" s="225">
        <f t="shared" si="8"/>
        <v>0.10069777571540783</v>
      </c>
      <c r="AF19" s="105"/>
      <c r="AG19" s="238" t="s">
        <v>344</v>
      </c>
      <c r="AH19" s="239">
        <f>53.11/1000</f>
        <v>5.3109999999999997E-2</v>
      </c>
      <c r="AI19" s="8"/>
      <c r="AJ19" s="211" t="s">
        <v>571</v>
      </c>
      <c r="AK19" s="228" t="s">
        <v>581</v>
      </c>
      <c r="AL19" s="229" t="str">
        <f t="shared" si="0"/>
        <v>Midwest - Urban</v>
      </c>
      <c r="AM19" s="230">
        <v>112800</v>
      </c>
      <c r="AN19" s="231"/>
      <c r="AO19" s="109"/>
      <c r="AP19" s="232" t="s">
        <v>586</v>
      </c>
      <c r="AQ19" s="233" t="s">
        <v>369</v>
      </c>
      <c r="AR19" s="109"/>
      <c r="AS19" s="234"/>
      <c r="AT19" s="235"/>
      <c r="AU19" s="235"/>
      <c r="AV19" s="235"/>
      <c r="AW19" s="235"/>
      <c r="AX19" s="236"/>
      <c r="AY19" s="8"/>
      <c r="AZ19" s="62"/>
    </row>
    <row r="20" spans="1:52" ht="13.5" thickBot="1" x14ac:dyDescent="0.35">
      <c r="A20" s="8"/>
      <c r="B20" s="1816"/>
      <c r="C20" s="8"/>
      <c r="D20" s="211" t="s">
        <v>583</v>
      </c>
      <c r="E20" s="212">
        <v>118</v>
      </c>
      <c r="F20" s="212">
        <v>1.2</v>
      </c>
      <c r="G20" s="213" t="s">
        <v>207</v>
      </c>
      <c r="H20" s="214" t="s">
        <v>205</v>
      </c>
      <c r="I20" s="215">
        <f t="shared" si="1"/>
        <v>118</v>
      </c>
      <c r="J20" s="216">
        <f t="shared" si="2"/>
        <v>9.6189381721763209E-2</v>
      </c>
      <c r="K20" s="217">
        <f t="shared" si="3"/>
        <v>11.350347043168059</v>
      </c>
      <c r="L20" s="218">
        <f t="shared" si="4"/>
        <v>14.5</v>
      </c>
      <c r="M20" s="215">
        <f t="shared" si="5"/>
        <v>2</v>
      </c>
      <c r="N20" s="215">
        <f t="shared" si="5"/>
        <v>1</v>
      </c>
      <c r="O20" s="218">
        <f t="shared" si="5"/>
        <v>0.5</v>
      </c>
      <c r="P20" s="218">
        <f t="shared" si="5"/>
        <v>1.5</v>
      </c>
      <c r="Q20" s="217">
        <f t="shared" si="5"/>
        <v>0.25</v>
      </c>
      <c r="R20" s="219"/>
      <c r="S20" s="8"/>
      <c r="T20" s="211" t="s">
        <v>584</v>
      </c>
      <c r="U20" s="220"/>
      <c r="V20" s="221">
        <v>25.1</v>
      </c>
      <c r="W20" s="318">
        <v>0.54280155642023342</v>
      </c>
      <c r="X20" s="318">
        <v>0.44163424124513617</v>
      </c>
      <c r="Y20" s="318"/>
      <c r="Z20" s="319"/>
      <c r="AA20" s="318">
        <v>0</v>
      </c>
      <c r="AB20" s="224">
        <f t="shared" si="6"/>
        <v>1.5564202334630406E-2</v>
      </c>
      <c r="AC20" s="218">
        <f t="shared" si="7"/>
        <v>25.1</v>
      </c>
      <c r="AD20" s="218"/>
      <c r="AE20" s="225">
        <f t="shared" si="8"/>
        <v>8.4958752986052835E-2</v>
      </c>
      <c r="AF20" s="105"/>
      <c r="AG20" s="243" t="s">
        <v>552</v>
      </c>
      <c r="AH20" s="244">
        <f>64.25/1000</f>
        <v>6.4250000000000002E-2</v>
      </c>
      <c r="AI20" s="8"/>
      <c r="AJ20" s="211" t="s">
        <v>585</v>
      </c>
      <c r="AK20" s="228" t="s">
        <v>572</v>
      </c>
      <c r="AL20" s="229" t="str">
        <f t="shared" si="0"/>
        <v>Northeast  - Rural</v>
      </c>
      <c r="AM20" s="230">
        <v>112900</v>
      </c>
      <c r="AN20" s="231"/>
      <c r="AO20" s="109"/>
      <c r="AP20" s="232" t="s">
        <v>582</v>
      </c>
      <c r="AQ20" s="233" t="s">
        <v>370</v>
      </c>
      <c r="AR20" s="109"/>
      <c r="AS20" s="245"/>
      <c r="AT20" s="246"/>
      <c r="AU20" s="246"/>
      <c r="AV20" s="246"/>
      <c r="AW20" s="246"/>
      <c r="AX20" s="247"/>
      <c r="AY20" s="8"/>
      <c r="AZ20" s="62"/>
    </row>
    <row r="21" spans="1:52" x14ac:dyDescent="0.3">
      <c r="A21" s="8"/>
      <c r="B21" s="1816"/>
      <c r="C21" s="8"/>
      <c r="D21" s="211" t="s">
        <v>587</v>
      </c>
      <c r="E21" s="212">
        <v>120</v>
      </c>
      <c r="F21" s="212">
        <v>1.2</v>
      </c>
      <c r="G21" s="213" t="s">
        <v>195</v>
      </c>
      <c r="H21" s="214" t="s">
        <v>205</v>
      </c>
      <c r="I21" s="215">
        <f t="shared" si="1"/>
        <v>120</v>
      </c>
      <c r="J21" s="216">
        <f t="shared" si="2"/>
        <v>9.6261887184475189E-2</v>
      </c>
      <c r="K21" s="217">
        <f t="shared" si="3"/>
        <v>11.551426462137023</v>
      </c>
      <c r="L21" s="218">
        <f t="shared" si="4"/>
        <v>14.6</v>
      </c>
      <c r="M21" s="215">
        <f t="shared" si="5"/>
        <v>2</v>
      </c>
      <c r="N21" s="215">
        <f t="shared" si="5"/>
        <v>1</v>
      </c>
      <c r="O21" s="218">
        <f t="shared" si="5"/>
        <v>0.5</v>
      </c>
      <c r="P21" s="218">
        <f t="shared" si="5"/>
        <v>1.5</v>
      </c>
      <c r="Q21" s="217">
        <f t="shared" si="5"/>
        <v>0.25</v>
      </c>
      <c r="R21" s="219"/>
      <c r="S21" s="8"/>
      <c r="T21" s="211" t="s">
        <v>588</v>
      </c>
      <c r="U21" s="220"/>
      <c r="V21" s="221">
        <v>47</v>
      </c>
      <c r="W21" s="318">
        <v>0.50835654596100277</v>
      </c>
      <c r="X21" s="318">
        <v>0.36908077994428967</v>
      </c>
      <c r="Y21" s="318">
        <v>2.7855153203342618E-2</v>
      </c>
      <c r="Z21" s="319">
        <v>9.4707520891364902E-2</v>
      </c>
      <c r="AA21" s="318">
        <v>0</v>
      </c>
      <c r="AB21" s="224">
        <f t="shared" si="6"/>
        <v>0</v>
      </c>
      <c r="AC21" s="218">
        <f t="shared" si="7"/>
        <v>47</v>
      </c>
      <c r="AD21" s="218"/>
      <c r="AE21" s="225">
        <f t="shared" si="8"/>
        <v>8.565769060964977E-2</v>
      </c>
      <c r="AF21" s="105"/>
      <c r="AG21" s="243" t="s">
        <v>553</v>
      </c>
      <c r="AH21" s="244">
        <f>74.21/1000</f>
        <v>7.4209999999999998E-2</v>
      </c>
      <c r="AI21" s="8"/>
      <c r="AJ21" s="211" t="s">
        <v>589</v>
      </c>
      <c r="AK21" s="228" t="s">
        <v>576</v>
      </c>
      <c r="AL21" s="229" t="str">
        <f t="shared" si="0"/>
        <v>Northeast - Suburban</v>
      </c>
      <c r="AM21" s="230">
        <v>106800</v>
      </c>
      <c r="AN21" s="231"/>
      <c r="AO21" s="109"/>
      <c r="AP21" s="232" t="s">
        <v>590</v>
      </c>
      <c r="AQ21" s="233" t="s">
        <v>370</v>
      </c>
      <c r="AR21" s="109"/>
      <c r="AS21" s="8"/>
      <c r="AT21" s="64"/>
      <c r="AU21" s="64"/>
      <c r="AV21" s="64"/>
      <c r="AW21" s="64"/>
      <c r="AX21" s="64"/>
      <c r="AY21" s="8"/>
      <c r="AZ21" s="62"/>
    </row>
    <row r="22" spans="1:52" x14ac:dyDescent="0.3">
      <c r="A22" s="8"/>
      <c r="B22" s="1816"/>
      <c r="C22" s="8"/>
      <c r="D22" s="211" t="s">
        <v>591</v>
      </c>
      <c r="E22" s="212">
        <v>75</v>
      </c>
      <c r="F22" s="212">
        <v>1.2</v>
      </c>
      <c r="G22" s="213" t="s">
        <v>195</v>
      </c>
      <c r="H22" s="214" t="s">
        <v>205</v>
      </c>
      <c r="I22" s="215">
        <f t="shared" si="1"/>
        <v>75</v>
      </c>
      <c r="J22" s="216">
        <f t="shared" si="2"/>
        <v>9.6261887184475189E-2</v>
      </c>
      <c r="K22" s="217">
        <f t="shared" si="3"/>
        <v>7.2196415388356394</v>
      </c>
      <c r="L22" s="218">
        <f t="shared" si="4"/>
        <v>14.6</v>
      </c>
      <c r="M22" s="215">
        <f t="shared" si="5"/>
        <v>2</v>
      </c>
      <c r="N22" s="215">
        <f t="shared" si="5"/>
        <v>1</v>
      </c>
      <c r="O22" s="218">
        <f t="shared" si="5"/>
        <v>0.5</v>
      </c>
      <c r="P22" s="218">
        <f t="shared" si="5"/>
        <v>1.5</v>
      </c>
      <c r="Q22" s="217">
        <f t="shared" si="5"/>
        <v>0.25</v>
      </c>
      <c r="R22" s="219"/>
      <c r="S22" s="8"/>
      <c r="T22" s="211" t="s">
        <v>200</v>
      </c>
      <c r="U22" s="220"/>
      <c r="V22" s="221">
        <v>50.2</v>
      </c>
      <c r="W22" s="318">
        <v>0.45719489981785066</v>
      </c>
      <c r="X22" s="318">
        <v>0.39890710382513661</v>
      </c>
      <c r="Y22" s="318">
        <v>2.9143897996357013E-2</v>
      </c>
      <c r="Z22" s="319">
        <v>0.11293260473588343</v>
      </c>
      <c r="AA22" s="318">
        <v>0</v>
      </c>
      <c r="AB22" s="224">
        <f t="shared" si="6"/>
        <v>1.8214936247723523E-3</v>
      </c>
      <c r="AC22" s="218">
        <f t="shared" si="7"/>
        <v>50.2</v>
      </c>
      <c r="AD22" s="218"/>
      <c r="AE22" s="225">
        <f t="shared" si="8"/>
        <v>8.2651120889349949E-2</v>
      </c>
      <c r="AF22" s="105"/>
      <c r="AG22" s="243" t="s">
        <v>554</v>
      </c>
      <c r="AH22" s="248">
        <f>66.4/1000</f>
        <v>6.6400000000000001E-2</v>
      </c>
      <c r="AI22" s="8"/>
      <c r="AJ22" s="211" t="s">
        <v>589</v>
      </c>
      <c r="AK22" s="228" t="s">
        <v>581</v>
      </c>
      <c r="AL22" s="229" t="str">
        <f t="shared" si="0"/>
        <v>Northeast - Urban</v>
      </c>
      <c r="AM22" s="230">
        <v>106800</v>
      </c>
      <c r="AN22" s="231"/>
      <c r="AO22" s="109"/>
      <c r="AP22" s="232" t="s">
        <v>400</v>
      </c>
      <c r="AQ22" s="233" t="s">
        <v>370</v>
      </c>
      <c r="AR22" s="109"/>
      <c r="AS22" s="8"/>
      <c r="AT22" s="64"/>
      <c r="AU22" s="64"/>
      <c r="AV22" s="64"/>
      <c r="AW22" s="64"/>
      <c r="AX22" s="64"/>
      <c r="AY22" s="8"/>
      <c r="AZ22" s="62"/>
    </row>
    <row r="23" spans="1:52" x14ac:dyDescent="0.3">
      <c r="A23" s="8"/>
      <c r="B23" s="1816"/>
      <c r="C23" s="8"/>
      <c r="D23" s="211" t="s">
        <v>592</v>
      </c>
      <c r="E23" s="212">
        <v>76</v>
      </c>
      <c r="F23" s="212">
        <v>1.2</v>
      </c>
      <c r="G23" s="213" t="s">
        <v>195</v>
      </c>
      <c r="H23" s="214" t="s">
        <v>205</v>
      </c>
      <c r="I23" s="215">
        <f t="shared" si="1"/>
        <v>76</v>
      </c>
      <c r="J23" s="216">
        <f t="shared" si="2"/>
        <v>9.6261887184475189E-2</v>
      </c>
      <c r="K23" s="217">
        <f t="shared" si="3"/>
        <v>7.3159034260201148</v>
      </c>
      <c r="L23" s="218">
        <f t="shared" si="4"/>
        <v>14.6</v>
      </c>
      <c r="M23" s="215">
        <f t="shared" si="5"/>
        <v>2</v>
      </c>
      <c r="N23" s="215">
        <f t="shared" si="5"/>
        <v>1</v>
      </c>
      <c r="O23" s="218">
        <f t="shared" si="5"/>
        <v>0.5</v>
      </c>
      <c r="P23" s="218">
        <f t="shared" si="5"/>
        <v>1.5</v>
      </c>
      <c r="Q23" s="217">
        <f t="shared" si="5"/>
        <v>0.25</v>
      </c>
      <c r="R23" s="219"/>
      <c r="S23" s="8"/>
      <c r="T23" s="211" t="s">
        <v>202</v>
      </c>
      <c r="U23" s="220"/>
      <c r="V23" s="221">
        <v>44.5</v>
      </c>
      <c r="W23" s="318">
        <v>0.53900709219858156</v>
      </c>
      <c r="X23" s="318">
        <v>0.39184397163120566</v>
      </c>
      <c r="Y23" s="318">
        <v>1.4184397163120567E-2</v>
      </c>
      <c r="Z23" s="319">
        <v>5.4964539007092202E-2</v>
      </c>
      <c r="AA23" s="318">
        <v>0</v>
      </c>
      <c r="AB23" s="224">
        <f t="shared" si="6"/>
        <v>0</v>
      </c>
      <c r="AC23" s="218">
        <f t="shared" si="7"/>
        <v>44.5</v>
      </c>
      <c r="AD23" s="218"/>
      <c r="AE23" s="225">
        <f t="shared" si="8"/>
        <v>8.6593379455569344E-2</v>
      </c>
      <c r="AF23" s="105"/>
      <c r="AG23" s="243" t="s">
        <v>1103</v>
      </c>
      <c r="AH23" s="249">
        <f>52.7/1000</f>
        <v>5.2700000000000004E-2</v>
      </c>
      <c r="AI23" s="8"/>
      <c r="AJ23" s="211" t="s">
        <v>369</v>
      </c>
      <c r="AK23" s="228" t="s">
        <v>572</v>
      </c>
      <c r="AL23" s="229" t="str">
        <f t="shared" si="0"/>
        <v>South - Rural</v>
      </c>
      <c r="AM23" s="230">
        <v>81800</v>
      </c>
      <c r="AN23" s="231"/>
      <c r="AO23" s="109"/>
      <c r="AP23" s="232" t="s">
        <v>593</v>
      </c>
      <c r="AQ23" s="233" t="s">
        <v>589</v>
      </c>
      <c r="AR23" s="109"/>
      <c r="AS23" s="8"/>
      <c r="AT23" s="64"/>
      <c r="AU23" s="64"/>
      <c r="AV23" s="64"/>
      <c r="AW23" s="64"/>
      <c r="AX23" s="64"/>
      <c r="AY23" s="8"/>
      <c r="AZ23" s="62"/>
    </row>
    <row r="24" spans="1:52" x14ac:dyDescent="0.3">
      <c r="A24" s="8"/>
      <c r="B24" s="1816"/>
      <c r="C24" s="8"/>
      <c r="D24" s="211" t="s">
        <v>594</v>
      </c>
      <c r="E24" s="212">
        <v>75</v>
      </c>
      <c r="F24" s="212">
        <v>1.2</v>
      </c>
      <c r="G24" s="213" t="s">
        <v>195</v>
      </c>
      <c r="H24" s="214" t="s">
        <v>205</v>
      </c>
      <c r="I24" s="215">
        <f t="shared" si="1"/>
        <v>75</v>
      </c>
      <c r="J24" s="216">
        <f t="shared" si="2"/>
        <v>9.6261887184475189E-2</v>
      </c>
      <c r="K24" s="217">
        <f t="shared" si="3"/>
        <v>7.2196415388356394</v>
      </c>
      <c r="L24" s="218">
        <f t="shared" si="4"/>
        <v>14.6</v>
      </c>
      <c r="M24" s="215">
        <f t="shared" si="5"/>
        <v>2</v>
      </c>
      <c r="N24" s="215">
        <f t="shared" si="5"/>
        <v>1</v>
      </c>
      <c r="O24" s="218">
        <f t="shared" si="5"/>
        <v>0.5</v>
      </c>
      <c r="P24" s="218">
        <f t="shared" si="5"/>
        <v>1.5</v>
      </c>
      <c r="Q24" s="217">
        <f t="shared" si="5"/>
        <v>0.25</v>
      </c>
      <c r="R24" s="219"/>
      <c r="S24" s="8"/>
      <c r="T24" s="211" t="s">
        <v>595</v>
      </c>
      <c r="U24" s="220"/>
      <c r="V24" s="221">
        <v>42</v>
      </c>
      <c r="W24" s="318">
        <v>0.60220994475138123</v>
      </c>
      <c r="X24" s="318">
        <v>0.34668508287292815</v>
      </c>
      <c r="Y24" s="318">
        <v>4.2817679558011051E-2</v>
      </c>
      <c r="Z24" s="319"/>
      <c r="AA24" s="318">
        <v>8.2872928176795577E-3</v>
      </c>
      <c r="AB24" s="224">
        <f t="shared" si="6"/>
        <v>8.2872928176795924E-3</v>
      </c>
      <c r="AC24" s="218">
        <f t="shared" si="7"/>
        <v>42</v>
      </c>
      <c r="AD24" s="218"/>
      <c r="AE24" s="225">
        <f t="shared" si="8"/>
        <v>9.0357385488754174E-2</v>
      </c>
      <c r="AF24" s="105"/>
      <c r="AG24" s="243" t="s">
        <v>1104</v>
      </c>
      <c r="AH24" s="248">
        <f>73.89/1000</f>
        <v>7.3889999999999997E-2</v>
      </c>
      <c r="AI24" s="8"/>
      <c r="AJ24" s="211" t="s">
        <v>369</v>
      </c>
      <c r="AK24" s="228" t="s">
        <v>576</v>
      </c>
      <c r="AL24" s="229" t="str">
        <f t="shared" si="0"/>
        <v>South - Suburban</v>
      </c>
      <c r="AM24" s="230">
        <v>74000</v>
      </c>
      <c r="AN24" s="231"/>
      <c r="AO24" s="109"/>
      <c r="AP24" s="232" t="s">
        <v>985</v>
      </c>
      <c r="AQ24" s="233" t="s">
        <v>589</v>
      </c>
      <c r="AR24" s="109"/>
      <c r="AS24" s="8"/>
      <c r="AT24" s="64"/>
      <c r="AU24" s="64"/>
      <c r="AV24" s="64"/>
      <c r="AW24" s="64"/>
      <c r="AX24" s="64"/>
      <c r="AY24" s="8"/>
      <c r="AZ24" s="62"/>
    </row>
    <row r="25" spans="1:52" x14ac:dyDescent="0.3">
      <c r="A25" s="8"/>
      <c r="B25" s="1816"/>
      <c r="C25" s="8"/>
      <c r="D25" s="211" t="s">
        <v>597</v>
      </c>
      <c r="E25" s="212">
        <v>534</v>
      </c>
      <c r="F25" s="212">
        <v>1.5</v>
      </c>
      <c r="G25" s="213" t="s">
        <v>584</v>
      </c>
      <c r="H25" s="214" t="s">
        <v>205</v>
      </c>
      <c r="I25" s="215">
        <f t="shared" si="1"/>
        <v>534</v>
      </c>
      <c r="J25" s="216">
        <f t="shared" si="2"/>
        <v>8.4958752986052835E-2</v>
      </c>
      <c r="K25" s="217">
        <f t="shared" si="3"/>
        <v>45.367974094552217</v>
      </c>
      <c r="L25" s="218">
        <f t="shared" si="4"/>
        <v>25.1</v>
      </c>
      <c r="M25" s="215">
        <f t="shared" si="5"/>
        <v>2</v>
      </c>
      <c r="N25" s="215">
        <f t="shared" si="5"/>
        <v>1</v>
      </c>
      <c r="O25" s="218">
        <f t="shared" si="5"/>
        <v>0.5</v>
      </c>
      <c r="P25" s="218">
        <f t="shared" si="5"/>
        <v>1.5</v>
      </c>
      <c r="Q25" s="217">
        <f t="shared" si="5"/>
        <v>0.25</v>
      </c>
      <c r="R25" s="219"/>
      <c r="S25" s="8"/>
      <c r="T25" s="211" t="s">
        <v>598</v>
      </c>
      <c r="U25" s="220"/>
      <c r="V25" s="221">
        <v>60.2</v>
      </c>
      <c r="W25" s="318">
        <v>0.60220994475138123</v>
      </c>
      <c r="X25" s="318">
        <v>0.34668508287292815</v>
      </c>
      <c r="Y25" s="318">
        <v>4.2817679558011051E-2</v>
      </c>
      <c r="Z25" s="319"/>
      <c r="AA25" s="318">
        <v>8.2872928176795577E-3</v>
      </c>
      <c r="AB25" s="224">
        <f t="shared" si="6"/>
        <v>8.2872928176795924E-3</v>
      </c>
      <c r="AC25" s="218">
        <f t="shared" si="7"/>
        <v>60.2</v>
      </c>
      <c r="AD25" s="218"/>
      <c r="AE25" s="225">
        <f t="shared" si="8"/>
        <v>9.0357385488754174E-2</v>
      </c>
      <c r="AF25" s="105"/>
      <c r="AG25" s="243" t="s">
        <v>1105</v>
      </c>
      <c r="AH25" s="248">
        <f>49.31/1000</f>
        <v>4.931E-2</v>
      </c>
      <c r="AI25" s="8"/>
      <c r="AJ25" s="211" t="s">
        <v>369</v>
      </c>
      <c r="AK25" s="228" t="s">
        <v>581</v>
      </c>
      <c r="AL25" s="229" t="str">
        <f t="shared" si="0"/>
        <v>South - Urban</v>
      </c>
      <c r="AM25" s="230">
        <v>74000</v>
      </c>
      <c r="AN25" s="231"/>
      <c r="AO25" s="109"/>
      <c r="AP25" s="232" t="s">
        <v>596</v>
      </c>
      <c r="AQ25" s="233" t="s">
        <v>589</v>
      </c>
      <c r="AR25" s="109"/>
      <c r="AS25" s="8"/>
      <c r="AT25" s="64"/>
      <c r="AU25" s="64"/>
      <c r="AV25" s="64"/>
      <c r="AW25" s="64"/>
      <c r="AX25" s="64"/>
      <c r="AY25" s="8"/>
      <c r="AZ25" s="62"/>
    </row>
    <row r="26" spans="1:52" x14ac:dyDescent="0.3">
      <c r="A26" s="8"/>
      <c r="B26" s="1816"/>
      <c r="C26" s="8"/>
      <c r="D26" s="211" t="s">
        <v>600</v>
      </c>
      <c r="E26" s="212">
        <v>213</v>
      </c>
      <c r="F26" s="212">
        <v>1.5</v>
      </c>
      <c r="G26" s="213" t="s">
        <v>580</v>
      </c>
      <c r="H26" s="214" t="s">
        <v>205</v>
      </c>
      <c r="I26" s="215">
        <f t="shared" si="1"/>
        <v>213</v>
      </c>
      <c r="J26" s="216">
        <f t="shared" si="2"/>
        <v>0.10069777571540783</v>
      </c>
      <c r="K26" s="217">
        <f t="shared" si="3"/>
        <v>21.448626227381869</v>
      </c>
      <c r="L26" s="218">
        <f t="shared" si="4"/>
        <v>23.7</v>
      </c>
      <c r="M26" s="215">
        <f t="shared" si="5"/>
        <v>2</v>
      </c>
      <c r="N26" s="215">
        <f t="shared" si="5"/>
        <v>1</v>
      </c>
      <c r="O26" s="218">
        <f t="shared" si="5"/>
        <v>0.5</v>
      </c>
      <c r="P26" s="218">
        <f t="shared" si="5"/>
        <v>1.5</v>
      </c>
      <c r="Q26" s="217">
        <f t="shared" si="5"/>
        <v>0.25</v>
      </c>
      <c r="R26" s="219"/>
      <c r="S26" s="8"/>
      <c r="T26" s="211" t="s">
        <v>601</v>
      </c>
      <c r="U26" s="230">
        <v>109500</v>
      </c>
      <c r="V26" s="221"/>
      <c r="W26" s="318">
        <v>0.45444142468888571</v>
      </c>
      <c r="X26" s="318">
        <v>0.44471463309969961</v>
      </c>
      <c r="Y26" s="318">
        <v>5.5786010585037904E-2</v>
      </c>
      <c r="Z26" s="319"/>
      <c r="AA26" s="318">
        <v>4.4914890573594622E-2</v>
      </c>
      <c r="AB26" s="224">
        <f t="shared" si="6"/>
        <v>4.5057931626376835E-2</v>
      </c>
      <c r="AC26" s="218">
        <f t="shared" si="7"/>
        <v>0</v>
      </c>
      <c r="AD26" s="218"/>
      <c r="AE26" s="225">
        <f t="shared" si="8"/>
        <v>8.2136136965478196E-2</v>
      </c>
      <c r="AF26" s="105"/>
      <c r="AG26" s="243" t="s">
        <v>1039</v>
      </c>
      <c r="AH26" s="248"/>
      <c r="AI26" s="8"/>
      <c r="AJ26" s="211" t="s">
        <v>370</v>
      </c>
      <c r="AK26" s="228" t="s">
        <v>572</v>
      </c>
      <c r="AL26" s="229" t="str">
        <f t="shared" si="0"/>
        <v>West - Rural</v>
      </c>
      <c r="AM26" s="230">
        <v>93100</v>
      </c>
      <c r="AN26" s="231"/>
      <c r="AO26" s="109"/>
      <c r="AP26" s="232" t="s">
        <v>599</v>
      </c>
      <c r="AQ26" s="233" t="s">
        <v>369</v>
      </c>
      <c r="AR26" s="109"/>
      <c r="AS26" s="8"/>
      <c r="AT26" s="64"/>
      <c r="AU26" s="64"/>
      <c r="AV26" s="64"/>
      <c r="AW26" s="64"/>
      <c r="AX26" s="64"/>
      <c r="AY26" s="8"/>
      <c r="AZ26" s="62"/>
    </row>
    <row r="27" spans="1:52" ht="13.5" thickBot="1" x14ac:dyDescent="0.35">
      <c r="A27" s="8"/>
      <c r="B27" s="1816"/>
      <c r="C27" s="8"/>
      <c r="D27" s="211" t="s">
        <v>603</v>
      </c>
      <c r="E27" s="212">
        <v>302</v>
      </c>
      <c r="F27" s="212">
        <v>1.5</v>
      </c>
      <c r="G27" s="213" t="s">
        <v>584</v>
      </c>
      <c r="H27" s="214" t="s">
        <v>205</v>
      </c>
      <c r="I27" s="215">
        <f t="shared" si="1"/>
        <v>302</v>
      </c>
      <c r="J27" s="216">
        <f t="shared" si="2"/>
        <v>8.4958752986052835E-2</v>
      </c>
      <c r="K27" s="217">
        <f t="shared" si="3"/>
        <v>25.657543401787954</v>
      </c>
      <c r="L27" s="218">
        <f t="shared" si="4"/>
        <v>25.1</v>
      </c>
      <c r="M27" s="215">
        <f t="shared" ref="M27:Q36" si="9">VLOOKUP($H:$H,Fixture_Usage_Table,$16:$16, FALSE)</f>
        <v>2</v>
      </c>
      <c r="N27" s="215">
        <f t="shared" si="9"/>
        <v>1</v>
      </c>
      <c r="O27" s="218">
        <f t="shared" si="9"/>
        <v>0.5</v>
      </c>
      <c r="P27" s="218">
        <f t="shared" si="9"/>
        <v>1.5</v>
      </c>
      <c r="Q27" s="217">
        <f t="shared" si="9"/>
        <v>0.25</v>
      </c>
      <c r="R27" s="219"/>
      <c r="S27" s="8"/>
      <c r="T27" s="211" t="s">
        <v>207</v>
      </c>
      <c r="U27" s="220"/>
      <c r="V27" s="221">
        <v>14.5</v>
      </c>
      <c r="W27" s="318">
        <v>0.69701853344077358</v>
      </c>
      <c r="X27" s="318">
        <v>0.22723609991941982</v>
      </c>
      <c r="Y27" s="318">
        <v>1.4504431909750202E-2</v>
      </c>
      <c r="Z27" s="319">
        <v>6.1240934730056408E-2</v>
      </c>
      <c r="AA27" s="318">
        <v>0</v>
      </c>
      <c r="AB27" s="224">
        <f t="shared" si="6"/>
        <v>0</v>
      </c>
      <c r="AC27" s="218">
        <f t="shared" si="7"/>
        <v>14.5</v>
      </c>
      <c r="AD27" s="218"/>
      <c r="AE27" s="225">
        <f t="shared" si="8"/>
        <v>9.6189381721763209E-2</v>
      </c>
      <c r="AF27" s="105"/>
      <c r="AG27" s="250"/>
      <c r="AH27" s="251"/>
      <c r="AI27" s="8"/>
      <c r="AJ27" s="211" t="s">
        <v>370</v>
      </c>
      <c r="AK27" s="228" t="s">
        <v>576</v>
      </c>
      <c r="AL27" s="229" t="str">
        <f t="shared" si="0"/>
        <v>West - Suburban</v>
      </c>
      <c r="AM27" s="230">
        <v>69900</v>
      </c>
      <c r="AN27" s="231"/>
      <c r="AO27" s="109"/>
      <c r="AP27" s="232" t="s">
        <v>602</v>
      </c>
      <c r="AQ27" s="233" t="s">
        <v>369</v>
      </c>
      <c r="AR27" s="109"/>
      <c r="AS27" s="8"/>
      <c r="AT27" s="64"/>
      <c r="AU27" s="64"/>
      <c r="AV27" s="64"/>
      <c r="AW27" s="64"/>
      <c r="AX27" s="64"/>
      <c r="AY27" s="8"/>
      <c r="AZ27" s="62"/>
    </row>
    <row r="28" spans="1:52" x14ac:dyDescent="0.3">
      <c r="A28" s="8"/>
      <c r="B28" s="1816"/>
      <c r="C28" s="8"/>
      <c r="D28" s="211" t="s">
        <v>605</v>
      </c>
      <c r="E28" s="212">
        <v>225</v>
      </c>
      <c r="F28" s="212">
        <v>1.5</v>
      </c>
      <c r="G28" s="213" t="s">
        <v>580</v>
      </c>
      <c r="H28" s="214" t="s">
        <v>205</v>
      </c>
      <c r="I28" s="215">
        <f t="shared" si="1"/>
        <v>225</v>
      </c>
      <c r="J28" s="216">
        <f t="shared" si="2"/>
        <v>0.10069777571540783</v>
      </c>
      <c r="K28" s="217">
        <f t="shared" si="3"/>
        <v>22.656999535966762</v>
      </c>
      <c r="L28" s="218">
        <f t="shared" si="4"/>
        <v>23.7</v>
      </c>
      <c r="M28" s="215">
        <f t="shared" si="9"/>
        <v>2</v>
      </c>
      <c r="N28" s="215">
        <f t="shared" si="9"/>
        <v>1</v>
      </c>
      <c r="O28" s="218">
        <f t="shared" si="9"/>
        <v>0.5</v>
      </c>
      <c r="P28" s="218">
        <f t="shared" si="9"/>
        <v>1.5</v>
      </c>
      <c r="Q28" s="217">
        <f t="shared" si="9"/>
        <v>0.25</v>
      </c>
      <c r="R28" s="219"/>
      <c r="S28" s="8"/>
      <c r="T28" s="211" t="s">
        <v>209</v>
      </c>
      <c r="U28" s="220"/>
      <c r="V28" s="221">
        <v>15.5</v>
      </c>
      <c r="W28" s="318">
        <v>0.67455621301775148</v>
      </c>
      <c r="X28" s="318">
        <v>0.27218934911242604</v>
      </c>
      <c r="Y28" s="318"/>
      <c r="Z28" s="319"/>
      <c r="AA28" s="318">
        <v>0</v>
      </c>
      <c r="AB28" s="224">
        <f t="shared" si="6"/>
        <v>5.3254437869822535E-2</v>
      </c>
      <c r="AC28" s="218">
        <f t="shared" si="7"/>
        <v>15.5</v>
      </c>
      <c r="AD28" s="218"/>
      <c r="AE28" s="225">
        <f t="shared" si="8"/>
        <v>9.0888342770476818E-2</v>
      </c>
      <c r="AF28" s="107"/>
      <c r="AG28" s="47"/>
      <c r="AH28" s="252"/>
      <c r="AI28" s="8"/>
      <c r="AJ28" s="211" t="s">
        <v>370</v>
      </c>
      <c r="AK28" s="228" t="s">
        <v>581</v>
      </c>
      <c r="AL28" s="229" t="str">
        <f t="shared" si="0"/>
        <v>West - Urban</v>
      </c>
      <c r="AM28" s="230">
        <v>69900</v>
      </c>
      <c r="AN28" s="231"/>
      <c r="AO28" s="109"/>
      <c r="AP28" s="232" t="s">
        <v>604</v>
      </c>
      <c r="AQ28" s="233" t="s">
        <v>370</v>
      </c>
      <c r="AR28" s="109"/>
      <c r="AS28" s="8"/>
      <c r="AT28" s="64"/>
      <c r="AU28" s="64"/>
      <c r="AV28" s="64"/>
      <c r="AW28" s="64"/>
      <c r="AX28" s="64"/>
      <c r="AY28" s="8"/>
      <c r="AZ28" s="62"/>
    </row>
    <row r="29" spans="1:52" x14ac:dyDescent="0.3">
      <c r="A29" s="8"/>
      <c r="B29" s="1816"/>
      <c r="C29" s="8"/>
      <c r="D29" s="211" t="s">
        <v>607</v>
      </c>
      <c r="E29" s="212">
        <v>351</v>
      </c>
      <c r="F29" s="212">
        <v>1.5</v>
      </c>
      <c r="G29" s="213" t="s">
        <v>584</v>
      </c>
      <c r="H29" s="214" t="s">
        <v>205</v>
      </c>
      <c r="I29" s="215">
        <f t="shared" si="1"/>
        <v>351</v>
      </c>
      <c r="J29" s="216">
        <f t="shared" si="2"/>
        <v>8.4958752986052835E-2</v>
      </c>
      <c r="K29" s="217">
        <f t="shared" si="3"/>
        <v>29.820522298104546</v>
      </c>
      <c r="L29" s="218">
        <f t="shared" si="4"/>
        <v>25.1</v>
      </c>
      <c r="M29" s="215">
        <f t="shared" si="9"/>
        <v>2</v>
      </c>
      <c r="N29" s="215">
        <f t="shared" si="9"/>
        <v>1</v>
      </c>
      <c r="O29" s="218">
        <f t="shared" si="9"/>
        <v>0.5</v>
      </c>
      <c r="P29" s="218">
        <f t="shared" si="9"/>
        <v>1.5</v>
      </c>
      <c r="Q29" s="217">
        <f t="shared" si="9"/>
        <v>0.25</v>
      </c>
      <c r="R29" s="219"/>
      <c r="S29" s="8"/>
      <c r="T29" s="211" t="s">
        <v>575</v>
      </c>
      <c r="U29" s="220"/>
      <c r="V29" s="221">
        <v>26.2</v>
      </c>
      <c r="W29" s="318">
        <v>0.57291666666666663</v>
      </c>
      <c r="X29" s="318">
        <v>0.28125</v>
      </c>
      <c r="Y29" s="318">
        <v>1.4583333333333334E-2</v>
      </c>
      <c r="Z29" s="319">
        <v>0.13333333333333333</v>
      </c>
      <c r="AA29" s="318">
        <v>0</v>
      </c>
      <c r="AB29" s="224">
        <f t="shared" si="6"/>
        <v>-2.0833333333332149E-3</v>
      </c>
      <c r="AC29" s="218">
        <f t="shared" si="7"/>
        <v>26.2</v>
      </c>
      <c r="AD29" s="218"/>
      <c r="AE29" s="225">
        <f t="shared" si="8"/>
        <v>9.0286580231321467E-2</v>
      </c>
      <c r="AF29" s="107"/>
      <c r="AG29" s="47"/>
      <c r="AH29" s="252"/>
      <c r="AI29" s="8"/>
      <c r="AJ29" s="243"/>
      <c r="AK29" s="253"/>
      <c r="AL29" s="254"/>
      <c r="AM29" s="255"/>
      <c r="AN29" s="256"/>
      <c r="AO29" s="109"/>
      <c r="AP29" s="232" t="s">
        <v>614</v>
      </c>
      <c r="AQ29" s="233" t="s">
        <v>571</v>
      </c>
      <c r="AR29" s="109"/>
      <c r="AS29" s="8"/>
      <c r="AT29" s="64"/>
      <c r="AU29" s="64"/>
      <c r="AV29" s="64"/>
      <c r="AW29" s="64"/>
      <c r="AX29" s="64"/>
      <c r="AY29" s="8"/>
      <c r="AZ29" s="62"/>
    </row>
    <row r="30" spans="1:52" ht="13.5" thickBot="1" x14ac:dyDescent="0.35">
      <c r="A30" s="8"/>
      <c r="B30" s="1816"/>
      <c r="C30" s="8"/>
      <c r="D30" s="211" t="s">
        <v>609</v>
      </c>
      <c r="E30" s="212">
        <v>370</v>
      </c>
      <c r="F30" s="212">
        <v>1.4</v>
      </c>
      <c r="G30" s="213" t="s">
        <v>200</v>
      </c>
      <c r="H30" s="214" t="s">
        <v>205</v>
      </c>
      <c r="I30" s="215">
        <f t="shared" si="1"/>
        <v>370</v>
      </c>
      <c r="J30" s="216">
        <f t="shared" si="2"/>
        <v>8.2651120889349949E-2</v>
      </c>
      <c r="K30" s="217">
        <f t="shared" si="3"/>
        <v>30.580914729059483</v>
      </c>
      <c r="L30" s="218">
        <f t="shared" si="4"/>
        <v>50.2</v>
      </c>
      <c r="M30" s="215">
        <f t="shared" si="9"/>
        <v>2</v>
      </c>
      <c r="N30" s="215">
        <f t="shared" si="9"/>
        <v>1</v>
      </c>
      <c r="O30" s="218">
        <f t="shared" si="9"/>
        <v>0.5</v>
      </c>
      <c r="P30" s="218">
        <f t="shared" si="9"/>
        <v>1.5</v>
      </c>
      <c r="Q30" s="217">
        <f t="shared" si="9"/>
        <v>0.25</v>
      </c>
      <c r="R30" s="219"/>
      <c r="S30" s="8"/>
      <c r="T30" s="211" t="s">
        <v>610</v>
      </c>
      <c r="U30" s="220"/>
      <c r="V30" s="221">
        <v>42.6</v>
      </c>
      <c r="W30" s="318">
        <v>0.54887218045112784</v>
      </c>
      <c r="X30" s="318">
        <v>0.30827067669172931</v>
      </c>
      <c r="Y30" s="318">
        <v>1.5037593984962405E-2</v>
      </c>
      <c r="Z30" s="319"/>
      <c r="AA30" s="318">
        <v>0</v>
      </c>
      <c r="AB30" s="224">
        <f t="shared" si="6"/>
        <v>0.12781954887218039</v>
      </c>
      <c r="AC30" s="218">
        <f t="shared" si="7"/>
        <v>42.6</v>
      </c>
      <c r="AD30" s="218"/>
      <c r="AE30" s="225">
        <f t="shared" si="8"/>
        <v>7.9679601949569481E-2</v>
      </c>
      <c r="AF30" s="107"/>
      <c r="AG30" s="47"/>
      <c r="AH30" s="252"/>
      <c r="AI30" s="8"/>
      <c r="AJ30" s="250"/>
      <c r="AK30" s="257"/>
      <c r="AL30" s="258"/>
      <c r="AM30" s="259"/>
      <c r="AN30" s="260"/>
      <c r="AO30" s="109"/>
      <c r="AP30" s="232" t="s">
        <v>606</v>
      </c>
      <c r="AQ30" s="233" t="s">
        <v>370</v>
      </c>
      <c r="AR30" s="109"/>
      <c r="AS30" s="8"/>
      <c r="AT30" s="64"/>
      <c r="AU30" s="64"/>
      <c r="AV30" s="64"/>
      <c r="AW30" s="64"/>
      <c r="AX30" s="64"/>
      <c r="AY30" s="8"/>
      <c r="AZ30" s="62"/>
    </row>
    <row r="31" spans="1:52" x14ac:dyDescent="0.3">
      <c r="A31" s="8"/>
      <c r="B31" s="1816"/>
      <c r="C31" s="8"/>
      <c r="D31" s="211" t="s">
        <v>612</v>
      </c>
      <c r="E31" s="212">
        <v>104</v>
      </c>
      <c r="F31" s="212">
        <v>1.3</v>
      </c>
      <c r="G31" s="213" t="s">
        <v>575</v>
      </c>
      <c r="H31" s="214" t="s">
        <v>205</v>
      </c>
      <c r="I31" s="215">
        <f t="shared" si="1"/>
        <v>104</v>
      </c>
      <c r="J31" s="216">
        <f t="shared" si="2"/>
        <v>9.0286580231321467E-2</v>
      </c>
      <c r="K31" s="217">
        <f t="shared" si="3"/>
        <v>9.389804344057433</v>
      </c>
      <c r="L31" s="218">
        <f t="shared" si="4"/>
        <v>26.2</v>
      </c>
      <c r="M31" s="215">
        <f t="shared" si="9"/>
        <v>2</v>
      </c>
      <c r="N31" s="215">
        <f t="shared" si="9"/>
        <v>1</v>
      </c>
      <c r="O31" s="218">
        <f t="shared" si="9"/>
        <v>0.5</v>
      </c>
      <c r="P31" s="218">
        <f t="shared" si="9"/>
        <v>1.5</v>
      </c>
      <c r="Q31" s="217">
        <f t="shared" si="9"/>
        <v>0.25</v>
      </c>
      <c r="R31" s="219"/>
      <c r="S31" s="8"/>
      <c r="T31" s="211" t="s">
        <v>613</v>
      </c>
      <c r="U31" s="220"/>
      <c r="V31" s="221">
        <v>7.3</v>
      </c>
      <c r="W31" s="318">
        <v>0.46820809248554912</v>
      </c>
      <c r="X31" s="318">
        <v>0.50289017341040465</v>
      </c>
      <c r="Y31" s="318">
        <v>2.8901734104046242E-2</v>
      </c>
      <c r="Z31" s="319"/>
      <c r="AA31" s="318">
        <v>0</v>
      </c>
      <c r="AB31" s="224">
        <f t="shared" si="6"/>
        <v>0</v>
      </c>
      <c r="AC31" s="218">
        <f t="shared" si="7"/>
        <v>7.3</v>
      </c>
      <c r="AD31" s="218"/>
      <c r="AE31" s="225">
        <f t="shared" si="8"/>
        <v>8.1904844548476685E-2</v>
      </c>
      <c r="AF31" s="107"/>
      <c r="AG31" s="47"/>
      <c r="AH31" s="252"/>
      <c r="AI31" s="8"/>
      <c r="AJ31" s="261"/>
      <c r="AK31" s="261"/>
      <c r="AL31" s="262"/>
      <c r="AM31" s="263"/>
      <c r="AN31" s="264"/>
      <c r="AO31" s="109"/>
      <c r="AP31" s="232" t="s">
        <v>608</v>
      </c>
      <c r="AQ31" s="233" t="s">
        <v>571</v>
      </c>
      <c r="AR31" s="109"/>
      <c r="AS31" s="8"/>
      <c r="AT31" s="64"/>
      <c r="AU31" s="64"/>
      <c r="AV31" s="64"/>
      <c r="AW31" s="64"/>
      <c r="AX31" s="64"/>
      <c r="AY31" s="8"/>
      <c r="AZ31" s="62"/>
    </row>
    <row r="32" spans="1:52" x14ac:dyDescent="0.3">
      <c r="A32" s="8"/>
      <c r="B32" s="1816"/>
      <c r="C32" s="8"/>
      <c r="D32" s="211" t="s">
        <v>615</v>
      </c>
      <c r="E32" s="212">
        <v>94</v>
      </c>
      <c r="F32" s="212">
        <v>1</v>
      </c>
      <c r="G32" s="213" t="s">
        <v>202</v>
      </c>
      <c r="H32" s="214" t="s">
        <v>578</v>
      </c>
      <c r="I32" s="215">
        <f t="shared" si="1"/>
        <v>94</v>
      </c>
      <c r="J32" s="216">
        <f t="shared" si="2"/>
        <v>8.6593379455569344E-2</v>
      </c>
      <c r="K32" s="217">
        <f t="shared" si="3"/>
        <v>8.1397776688235179</v>
      </c>
      <c r="L32" s="218">
        <f t="shared" si="4"/>
        <v>44.5</v>
      </c>
      <c r="M32" s="215">
        <f t="shared" si="9"/>
        <v>5</v>
      </c>
      <c r="N32" s="215">
        <f t="shared" si="9"/>
        <v>0</v>
      </c>
      <c r="O32" s="215">
        <f t="shared" si="9"/>
        <v>8</v>
      </c>
      <c r="P32" s="215">
        <f t="shared" si="9"/>
        <v>5</v>
      </c>
      <c r="Q32" s="215">
        <f t="shared" si="9"/>
        <v>4</v>
      </c>
      <c r="R32" s="219"/>
      <c r="S32" s="8"/>
      <c r="T32" s="211" t="s">
        <v>616</v>
      </c>
      <c r="U32" s="220"/>
      <c r="V32" s="221">
        <v>8</v>
      </c>
      <c r="W32" s="318">
        <v>0.77197802197802201</v>
      </c>
      <c r="X32" s="318">
        <v>0.2032967032967033</v>
      </c>
      <c r="Y32" s="318">
        <v>1.9230769230769232E-2</v>
      </c>
      <c r="Z32" s="319"/>
      <c r="AA32" s="318">
        <v>0</v>
      </c>
      <c r="AB32" s="224">
        <f t="shared" si="6"/>
        <v>5.494505494505364E-3</v>
      </c>
      <c r="AC32" s="218">
        <f t="shared" si="7"/>
        <v>8</v>
      </c>
      <c r="AD32" s="218"/>
      <c r="AE32" s="225">
        <f t="shared" si="8"/>
        <v>9.9695204111894489E-2</v>
      </c>
      <c r="AF32" s="107"/>
      <c r="AG32" s="47"/>
      <c r="AH32" s="252"/>
      <c r="AI32" s="8"/>
      <c r="AJ32" s="109"/>
      <c r="AK32" s="109"/>
      <c r="AL32" s="265"/>
      <c r="AM32" s="62"/>
      <c r="AN32" s="266"/>
      <c r="AO32" s="109"/>
      <c r="AP32" s="232" t="s">
        <v>611</v>
      </c>
      <c r="AQ32" s="233" t="s">
        <v>571</v>
      </c>
      <c r="AR32" s="109"/>
      <c r="AS32" s="8"/>
      <c r="AT32" s="64"/>
      <c r="AU32" s="64"/>
      <c r="AV32" s="64"/>
      <c r="AW32" s="64"/>
      <c r="AX32" s="64"/>
      <c r="AY32" s="8"/>
      <c r="AZ32" s="62"/>
    </row>
    <row r="33" spans="1:52" x14ac:dyDescent="0.3">
      <c r="A33" s="8"/>
      <c r="B33" s="1816"/>
      <c r="C33" s="8"/>
      <c r="D33" s="211" t="s">
        <v>618</v>
      </c>
      <c r="E33" s="212">
        <v>89</v>
      </c>
      <c r="F33" s="212">
        <v>1</v>
      </c>
      <c r="G33" s="213" t="s">
        <v>202</v>
      </c>
      <c r="H33" s="214" t="s">
        <v>578</v>
      </c>
      <c r="I33" s="215">
        <f t="shared" si="1"/>
        <v>89</v>
      </c>
      <c r="J33" s="216">
        <f t="shared" si="2"/>
        <v>8.6593379455569344E-2</v>
      </c>
      <c r="K33" s="217">
        <f t="shared" si="3"/>
        <v>7.7068107715456717</v>
      </c>
      <c r="L33" s="218">
        <f t="shared" si="4"/>
        <v>44.5</v>
      </c>
      <c r="M33" s="215">
        <f t="shared" si="9"/>
        <v>5</v>
      </c>
      <c r="N33" s="215">
        <f t="shared" si="9"/>
        <v>0</v>
      </c>
      <c r="O33" s="215">
        <f t="shared" si="9"/>
        <v>8</v>
      </c>
      <c r="P33" s="215">
        <f t="shared" si="9"/>
        <v>5</v>
      </c>
      <c r="Q33" s="215">
        <f t="shared" si="9"/>
        <v>4</v>
      </c>
      <c r="R33" s="219"/>
      <c r="S33" s="8"/>
      <c r="T33" s="211" t="s">
        <v>619</v>
      </c>
      <c r="U33" s="220"/>
      <c r="V33" s="221">
        <v>12.6</v>
      </c>
      <c r="W33" s="318">
        <v>0.46691176470588236</v>
      </c>
      <c r="X33" s="318">
        <v>0.4485294117647059</v>
      </c>
      <c r="Y33" s="318">
        <v>5.8823529411764705E-2</v>
      </c>
      <c r="Z33" s="319"/>
      <c r="AA33" s="318">
        <v>0</v>
      </c>
      <c r="AB33" s="224">
        <f t="shared" si="6"/>
        <v>2.5735294117646967E-2</v>
      </c>
      <c r="AC33" s="218">
        <f t="shared" si="7"/>
        <v>12.6</v>
      </c>
      <c r="AD33" s="218"/>
      <c r="AE33" s="225">
        <f t="shared" si="8"/>
        <v>8.1091357097611713E-2</v>
      </c>
      <c r="AF33" s="107"/>
      <c r="AG33" s="47"/>
      <c r="AH33" s="252"/>
      <c r="AI33" s="8"/>
      <c r="AJ33" s="109"/>
      <c r="AK33" s="109"/>
      <c r="AL33" s="265"/>
      <c r="AM33" s="62"/>
      <c r="AN33" s="266"/>
      <c r="AO33" s="109"/>
      <c r="AP33" s="232" t="s">
        <v>617</v>
      </c>
      <c r="AQ33" s="233" t="s">
        <v>571</v>
      </c>
      <c r="AR33" s="109"/>
      <c r="AS33" s="8"/>
      <c r="AT33" s="64"/>
      <c r="AU33" s="64"/>
      <c r="AV33" s="64"/>
      <c r="AW33" s="64"/>
      <c r="AX33" s="64"/>
      <c r="AY33" s="8"/>
      <c r="AZ33" s="62"/>
    </row>
    <row r="34" spans="1:52" x14ac:dyDescent="0.3">
      <c r="A34" s="8"/>
      <c r="B34" s="1816"/>
      <c r="C34" s="8"/>
      <c r="D34" s="211" t="s">
        <v>621</v>
      </c>
      <c r="E34" s="212">
        <v>227</v>
      </c>
      <c r="F34" s="212">
        <v>1.2</v>
      </c>
      <c r="G34" s="213" t="s">
        <v>200</v>
      </c>
      <c r="H34" s="214" t="s">
        <v>205</v>
      </c>
      <c r="I34" s="215">
        <f t="shared" si="1"/>
        <v>227</v>
      </c>
      <c r="J34" s="216">
        <f t="shared" si="2"/>
        <v>8.2651120889349949E-2</v>
      </c>
      <c r="K34" s="217">
        <f t="shared" si="3"/>
        <v>18.76180444188244</v>
      </c>
      <c r="L34" s="218">
        <f t="shared" si="4"/>
        <v>50.2</v>
      </c>
      <c r="M34" s="215">
        <f t="shared" si="9"/>
        <v>2</v>
      </c>
      <c r="N34" s="215">
        <f t="shared" si="9"/>
        <v>1</v>
      </c>
      <c r="O34" s="218">
        <f t="shared" si="9"/>
        <v>0.5</v>
      </c>
      <c r="P34" s="218">
        <f t="shared" si="9"/>
        <v>1.5</v>
      </c>
      <c r="Q34" s="217">
        <f t="shared" si="9"/>
        <v>0.25</v>
      </c>
      <c r="R34" s="219"/>
      <c r="S34" s="8"/>
      <c r="T34" s="211" t="s">
        <v>225</v>
      </c>
      <c r="U34" s="220"/>
      <c r="V34" s="221">
        <v>3.4</v>
      </c>
      <c r="W34" s="318">
        <v>0.66200466200466201</v>
      </c>
      <c r="X34" s="318">
        <v>0.32400932400932403</v>
      </c>
      <c r="Y34" s="318">
        <v>1.1655011655011656E-2</v>
      </c>
      <c r="Z34" s="319"/>
      <c r="AA34" s="318">
        <v>0</v>
      </c>
      <c r="AB34" s="224">
        <f t="shared" si="6"/>
        <v>2.3310023310022521E-3</v>
      </c>
      <c r="AC34" s="218">
        <f t="shared" si="7"/>
        <v>3.4</v>
      </c>
      <c r="AD34" s="218"/>
      <c r="AE34" s="225">
        <f t="shared" si="8"/>
        <v>9.3083233542138086E-2</v>
      </c>
      <c r="AF34" s="107"/>
      <c r="AG34" s="47"/>
      <c r="AH34" s="252"/>
      <c r="AI34" s="8"/>
      <c r="AJ34" s="109"/>
      <c r="AK34" s="109"/>
      <c r="AL34" s="265"/>
      <c r="AM34" s="62"/>
      <c r="AN34" s="266"/>
      <c r="AO34" s="109"/>
      <c r="AP34" s="232" t="s">
        <v>620</v>
      </c>
      <c r="AQ34" s="233" t="s">
        <v>369</v>
      </c>
      <c r="AR34" s="109"/>
      <c r="AS34" s="8"/>
      <c r="AT34" s="64"/>
      <c r="AU34" s="64"/>
      <c r="AV34" s="64"/>
      <c r="AW34" s="64"/>
      <c r="AX34" s="64"/>
      <c r="AY34" s="8"/>
      <c r="AZ34" s="62"/>
    </row>
    <row r="35" spans="1:52" x14ac:dyDescent="0.3">
      <c r="A35" s="8"/>
      <c r="B35" s="1816"/>
      <c r="C35" s="8"/>
      <c r="D35" s="211" t="s">
        <v>623</v>
      </c>
      <c r="E35" s="212">
        <v>59</v>
      </c>
      <c r="F35" s="212">
        <v>1</v>
      </c>
      <c r="G35" s="213" t="s">
        <v>588</v>
      </c>
      <c r="H35" s="214" t="s">
        <v>205</v>
      </c>
      <c r="I35" s="215">
        <f t="shared" si="1"/>
        <v>59</v>
      </c>
      <c r="J35" s="216">
        <f t="shared" si="2"/>
        <v>8.565769060964977E-2</v>
      </c>
      <c r="K35" s="217">
        <f t="shared" si="3"/>
        <v>5.0538037459693363</v>
      </c>
      <c r="L35" s="218">
        <f t="shared" si="4"/>
        <v>47</v>
      </c>
      <c r="M35" s="215">
        <f t="shared" si="9"/>
        <v>2</v>
      </c>
      <c r="N35" s="215">
        <f t="shared" si="9"/>
        <v>1</v>
      </c>
      <c r="O35" s="218">
        <f t="shared" si="9"/>
        <v>0.5</v>
      </c>
      <c r="P35" s="218">
        <f t="shared" si="9"/>
        <v>1.5</v>
      </c>
      <c r="Q35" s="217">
        <f t="shared" si="9"/>
        <v>0.25</v>
      </c>
      <c r="R35" s="219"/>
      <c r="S35" s="8"/>
      <c r="T35" s="211"/>
      <c r="U35" s="220"/>
      <c r="V35" s="221"/>
      <c r="W35" s="222"/>
      <c r="X35" s="222"/>
      <c r="Y35" s="222"/>
      <c r="Z35" s="223"/>
      <c r="AA35" s="318"/>
      <c r="AB35" s="224"/>
      <c r="AC35" s="218"/>
      <c r="AD35" s="218"/>
      <c r="AE35" s="225"/>
      <c r="AF35" s="107"/>
      <c r="AG35" s="47"/>
      <c r="AH35" s="252"/>
      <c r="AI35" s="8"/>
      <c r="AJ35" s="109"/>
      <c r="AK35" s="109"/>
      <c r="AL35" s="265"/>
      <c r="AM35" s="62"/>
      <c r="AN35" s="266"/>
      <c r="AO35" s="109"/>
      <c r="AP35" s="232" t="s">
        <v>622</v>
      </c>
      <c r="AQ35" s="233" t="s">
        <v>369</v>
      </c>
      <c r="AR35" s="109"/>
      <c r="AS35" s="8"/>
      <c r="AT35" s="64"/>
      <c r="AU35" s="64"/>
      <c r="AV35" s="64"/>
      <c r="AW35" s="64"/>
      <c r="AX35" s="64"/>
      <c r="AY35" s="8"/>
      <c r="AZ35" s="62"/>
    </row>
    <row r="36" spans="1:52" ht="13.5" thickBot="1" x14ac:dyDescent="0.35">
      <c r="A36" s="8"/>
      <c r="B36" s="1816"/>
      <c r="C36" s="8"/>
      <c r="D36" s="211" t="s">
        <v>625</v>
      </c>
      <c r="E36" s="212">
        <v>73</v>
      </c>
      <c r="F36" s="212">
        <v>1.2</v>
      </c>
      <c r="G36" s="213" t="s">
        <v>209</v>
      </c>
      <c r="H36" s="214" t="s">
        <v>205</v>
      </c>
      <c r="I36" s="215">
        <f t="shared" si="1"/>
        <v>73</v>
      </c>
      <c r="J36" s="216">
        <f t="shared" si="2"/>
        <v>9.0888342770476818E-2</v>
      </c>
      <c r="K36" s="217">
        <f t="shared" si="3"/>
        <v>6.6348490222448078</v>
      </c>
      <c r="L36" s="218">
        <f t="shared" si="4"/>
        <v>15.5</v>
      </c>
      <c r="M36" s="215">
        <f t="shared" si="9"/>
        <v>2</v>
      </c>
      <c r="N36" s="215">
        <f t="shared" si="9"/>
        <v>1</v>
      </c>
      <c r="O36" s="218">
        <f t="shared" si="9"/>
        <v>0.5</v>
      </c>
      <c r="P36" s="218">
        <f t="shared" si="9"/>
        <v>1.5</v>
      </c>
      <c r="Q36" s="217">
        <f t="shared" si="9"/>
        <v>0.25</v>
      </c>
      <c r="R36" s="219"/>
      <c r="S36" s="8"/>
      <c r="T36" s="267"/>
      <c r="U36" s="268"/>
      <c r="V36" s="269"/>
      <c r="W36" s="270"/>
      <c r="X36" s="270"/>
      <c r="Y36" s="270"/>
      <c r="Z36" s="271"/>
      <c r="AA36" s="326"/>
      <c r="AB36" s="272"/>
      <c r="AC36" s="273"/>
      <c r="AD36" s="273"/>
      <c r="AE36" s="274"/>
      <c r="AF36" s="107"/>
      <c r="AG36" s="47"/>
      <c r="AH36" s="252"/>
      <c r="AI36" s="8"/>
      <c r="AJ36" s="109"/>
      <c r="AK36" s="109"/>
      <c r="AL36" s="265"/>
      <c r="AM36" s="62"/>
      <c r="AN36" s="266"/>
      <c r="AO36" s="109"/>
      <c r="AP36" s="232" t="s">
        <v>628</v>
      </c>
      <c r="AQ36" s="233" t="s">
        <v>589</v>
      </c>
      <c r="AR36" s="109"/>
      <c r="AS36" s="8"/>
      <c r="AT36" s="64"/>
      <c r="AU36" s="64"/>
      <c r="AV36" s="64"/>
      <c r="AW36" s="64"/>
      <c r="AX36" s="64"/>
      <c r="AY36" s="8"/>
      <c r="AZ36" s="62"/>
    </row>
    <row r="37" spans="1:52" x14ac:dyDescent="0.3">
      <c r="A37" s="8"/>
      <c r="B37" s="1816"/>
      <c r="C37" s="8"/>
      <c r="D37" s="211" t="s">
        <v>627</v>
      </c>
      <c r="E37" s="212">
        <v>52</v>
      </c>
      <c r="F37" s="212">
        <v>1.2</v>
      </c>
      <c r="G37" s="213" t="s">
        <v>575</v>
      </c>
      <c r="H37" s="214" t="s">
        <v>205</v>
      </c>
      <c r="I37" s="215">
        <f t="shared" si="1"/>
        <v>52</v>
      </c>
      <c r="J37" s="216">
        <f t="shared" si="2"/>
        <v>9.0286580231321467E-2</v>
      </c>
      <c r="K37" s="217">
        <f t="shared" si="3"/>
        <v>4.6949021720287165</v>
      </c>
      <c r="L37" s="218">
        <f t="shared" si="4"/>
        <v>26.2</v>
      </c>
      <c r="M37" s="215">
        <f t="shared" ref="M37:Q46" si="10">VLOOKUP($H:$H,Fixture_Usage_Table,$16:$16, FALSE)</f>
        <v>2</v>
      </c>
      <c r="N37" s="215">
        <f t="shared" si="10"/>
        <v>1</v>
      </c>
      <c r="O37" s="218">
        <f t="shared" si="10"/>
        <v>0.5</v>
      </c>
      <c r="P37" s="218">
        <f t="shared" si="10"/>
        <v>1.5</v>
      </c>
      <c r="Q37" s="217">
        <f t="shared" si="10"/>
        <v>0.25</v>
      </c>
      <c r="R37" s="219"/>
      <c r="S37" s="8"/>
      <c r="T37" s="70"/>
      <c r="U37" s="71"/>
      <c r="V37" s="68"/>
      <c r="W37" s="480"/>
      <c r="X37" s="480"/>
      <c r="Y37" s="480"/>
      <c r="Z37" s="481"/>
      <c r="AA37" s="480"/>
      <c r="AB37" s="74"/>
      <c r="AC37" s="69"/>
      <c r="AD37" s="69"/>
      <c r="AE37" s="67"/>
      <c r="AF37" s="93"/>
      <c r="AG37" s="47"/>
      <c r="AH37" s="252"/>
      <c r="AI37" s="8"/>
      <c r="AJ37" s="109"/>
      <c r="AK37" s="109"/>
      <c r="AL37" s="265"/>
      <c r="AM37" s="62"/>
      <c r="AN37" s="266"/>
      <c r="AO37" s="109"/>
      <c r="AP37" s="232" t="s">
        <v>626</v>
      </c>
      <c r="AQ37" s="233" t="s">
        <v>589</v>
      </c>
      <c r="AR37" s="109"/>
      <c r="AS37" s="8"/>
      <c r="AT37" s="64"/>
      <c r="AU37" s="64"/>
      <c r="AV37" s="64"/>
      <c r="AW37" s="64"/>
      <c r="AX37" s="64"/>
      <c r="AY37" s="8"/>
      <c r="AZ37" s="62"/>
    </row>
    <row r="38" spans="1:52" x14ac:dyDescent="0.3">
      <c r="A38" s="8"/>
      <c r="B38" s="1816"/>
      <c r="C38" s="8"/>
      <c r="D38" s="211" t="s">
        <v>629</v>
      </c>
      <c r="E38" s="212">
        <v>95</v>
      </c>
      <c r="F38" s="212">
        <v>1.6</v>
      </c>
      <c r="G38" s="213" t="s">
        <v>575</v>
      </c>
      <c r="H38" s="214" t="s">
        <v>205</v>
      </c>
      <c r="I38" s="215">
        <f t="shared" si="1"/>
        <v>95</v>
      </c>
      <c r="J38" s="216">
        <f t="shared" si="2"/>
        <v>9.0286580231321467E-2</v>
      </c>
      <c r="K38" s="217">
        <f t="shared" si="3"/>
        <v>8.5772251219755393</v>
      </c>
      <c r="L38" s="218">
        <f t="shared" si="4"/>
        <v>26.2</v>
      </c>
      <c r="M38" s="215">
        <f t="shared" si="10"/>
        <v>2</v>
      </c>
      <c r="N38" s="215">
        <f t="shared" si="10"/>
        <v>1</v>
      </c>
      <c r="O38" s="218">
        <f t="shared" si="10"/>
        <v>0.5</v>
      </c>
      <c r="P38" s="218">
        <f t="shared" si="10"/>
        <v>1.5</v>
      </c>
      <c r="Q38" s="217">
        <f t="shared" si="10"/>
        <v>0.25</v>
      </c>
      <c r="R38" s="219"/>
      <c r="S38" s="8"/>
      <c r="T38" s="70"/>
      <c r="U38" s="71"/>
      <c r="V38" s="68"/>
      <c r="W38" s="72"/>
      <c r="X38" s="72"/>
      <c r="Y38" s="72"/>
      <c r="Z38" s="73"/>
      <c r="AA38" s="321"/>
      <c r="AB38" s="74"/>
      <c r="AC38" s="69"/>
      <c r="AD38" s="69"/>
      <c r="AE38" s="67"/>
      <c r="AF38" s="93"/>
      <c r="AG38" s="47"/>
      <c r="AH38" s="252"/>
      <c r="AI38" s="8"/>
      <c r="AJ38" s="109"/>
      <c r="AK38" s="109"/>
      <c r="AL38" s="265"/>
      <c r="AM38" s="62"/>
      <c r="AN38" s="266"/>
      <c r="AO38" s="109"/>
      <c r="AP38" s="232" t="s">
        <v>624</v>
      </c>
      <c r="AQ38" s="233" t="s">
        <v>589</v>
      </c>
      <c r="AR38" s="109"/>
      <c r="AS38" s="8"/>
      <c r="AT38" s="64"/>
      <c r="AU38" s="64"/>
      <c r="AV38" s="64"/>
      <c r="AW38" s="64"/>
      <c r="AX38" s="64"/>
      <c r="AY38" s="8"/>
      <c r="AZ38" s="62"/>
    </row>
    <row r="39" spans="1:52" x14ac:dyDescent="0.3">
      <c r="A39" s="8"/>
      <c r="B39" s="1816"/>
      <c r="C39" s="8"/>
      <c r="D39" s="211" t="s">
        <v>631</v>
      </c>
      <c r="E39" s="212">
        <v>95</v>
      </c>
      <c r="F39" s="212">
        <v>1.6</v>
      </c>
      <c r="G39" s="213" t="s">
        <v>575</v>
      </c>
      <c r="H39" s="214" t="s">
        <v>205</v>
      </c>
      <c r="I39" s="215">
        <f t="shared" si="1"/>
        <v>95</v>
      </c>
      <c r="J39" s="216">
        <f t="shared" si="2"/>
        <v>9.0286580231321467E-2</v>
      </c>
      <c r="K39" s="217">
        <f t="shared" si="3"/>
        <v>8.5772251219755393</v>
      </c>
      <c r="L39" s="218">
        <f t="shared" si="4"/>
        <v>26.2</v>
      </c>
      <c r="M39" s="215">
        <f t="shared" si="10"/>
        <v>2</v>
      </c>
      <c r="N39" s="215">
        <f t="shared" si="10"/>
        <v>1</v>
      </c>
      <c r="O39" s="218">
        <f t="shared" si="10"/>
        <v>0.5</v>
      </c>
      <c r="P39" s="218">
        <f t="shared" si="10"/>
        <v>1.5</v>
      </c>
      <c r="Q39" s="217">
        <f t="shared" si="10"/>
        <v>0.25</v>
      </c>
      <c r="R39" s="219"/>
      <c r="S39" s="8"/>
      <c r="T39" s="70"/>
      <c r="U39" s="71"/>
      <c r="V39" s="68"/>
      <c r="W39" s="72"/>
      <c r="X39" s="72"/>
      <c r="Y39" s="72"/>
      <c r="Z39" s="73"/>
      <c r="AA39" s="321"/>
      <c r="AB39" s="74"/>
      <c r="AC39" s="69"/>
      <c r="AD39" s="69"/>
      <c r="AE39" s="67"/>
      <c r="AF39" s="93"/>
      <c r="AG39" s="47"/>
      <c r="AH39" s="252"/>
      <c r="AI39" s="8"/>
      <c r="AJ39" s="109"/>
      <c r="AK39" s="109"/>
      <c r="AL39" s="265"/>
      <c r="AM39" s="62"/>
      <c r="AN39" s="266"/>
      <c r="AO39" s="109"/>
      <c r="AP39" s="232" t="s">
        <v>630</v>
      </c>
      <c r="AQ39" s="233" t="s">
        <v>571</v>
      </c>
      <c r="AR39" s="109"/>
      <c r="AS39" s="8"/>
      <c r="AT39" s="64"/>
      <c r="AU39" s="64"/>
      <c r="AV39" s="64"/>
      <c r="AW39" s="64"/>
      <c r="AX39" s="64"/>
      <c r="AY39" s="8"/>
      <c r="AZ39" s="62"/>
    </row>
    <row r="40" spans="1:52" x14ac:dyDescent="0.3">
      <c r="A40" s="8"/>
      <c r="B40" s="1816"/>
      <c r="C40" s="8"/>
      <c r="D40" s="211" t="s">
        <v>207</v>
      </c>
      <c r="E40" s="212">
        <v>90</v>
      </c>
      <c r="F40" s="212">
        <v>1</v>
      </c>
      <c r="G40" s="213" t="s">
        <v>207</v>
      </c>
      <c r="H40" s="214" t="s">
        <v>205</v>
      </c>
      <c r="I40" s="215">
        <f t="shared" si="1"/>
        <v>90</v>
      </c>
      <c r="J40" s="216">
        <f t="shared" si="2"/>
        <v>9.6189381721763209E-2</v>
      </c>
      <c r="K40" s="217">
        <f t="shared" si="3"/>
        <v>8.6570443549586891</v>
      </c>
      <c r="L40" s="218">
        <f t="shared" si="4"/>
        <v>14.5</v>
      </c>
      <c r="M40" s="215">
        <f t="shared" si="10"/>
        <v>2</v>
      </c>
      <c r="N40" s="215">
        <f t="shared" si="10"/>
        <v>1</v>
      </c>
      <c r="O40" s="218">
        <f t="shared" si="10"/>
        <v>0.5</v>
      </c>
      <c r="P40" s="218">
        <f t="shared" si="10"/>
        <v>1.5</v>
      </c>
      <c r="Q40" s="217">
        <f t="shared" si="10"/>
        <v>0.25</v>
      </c>
      <c r="R40" s="219"/>
      <c r="S40" s="8"/>
      <c r="T40" s="70"/>
      <c r="U40" s="71"/>
      <c r="V40" s="68"/>
      <c r="W40" s="72"/>
      <c r="X40" s="72"/>
      <c r="Y40" s="72"/>
      <c r="Z40" s="73"/>
      <c r="AA40" s="321"/>
      <c r="AB40" s="74"/>
      <c r="AC40" s="69"/>
      <c r="AD40" s="69"/>
      <c r="AE40" s="67"/>
      <c r="AF40" s="93"/>
      <c r="AG40" s="47"/>
      <c r="AH40" s="252"/>
      <c r="AI40" s="8"/>
      <c r="AJ40" s="109"/>
      <c r="AK40" s="109"/>
      <c r="AL40" s="265"/>
      <c r="AM40" s="62"/>
      <c r="AN40" s="266"/>
      <c r="AO40" s="109"/>
      <c r="AP40" s="232" t="s">
        <v>632</v>
      </c>
      <c r="AQ40" s="233" t="s">
        <v>571</v>
      </c>
      <c r="AR40" s="109"/>
      <c r="AS40" s="8"/>
      <c r="AT40" s="64"/>
      <c r="AU40" s="64"/>
      <c r="AV40" s="64"/>
      <c r="AW40" s="64"/>
      <c r="AX40" s="64"/>
      <c r="AY40" s="8"/>
      <c r="AZ40" s="62"/>
    </row>
    <row r="41" spans="1:52" x14ac:dyDescent="0.3">
      <c r="A41" s="8"/>
      <c r="B41" s="1816"/>
      <c r="C41" s="8"/>
      <c r="D41" s="211" t="s">
        <v>634</v>
      </c>
      <c r="E41" s="212">
        <v>95</v>
      </c>
      <c r="F41" s="212">
        <v>1.6</v>
      </c>
      <c r="G41" s="213" t="s">
        <v>575</v>
      </c>
      <c r="H41" s="214" t="s">
        <v>205</v>
      </c>
      <c r="I41" s="215">
        <f t="shared" si="1"/>
        <v>95</v>
      </c>
      <c r="J41" s="216">
        <f t="shared" si="2"/>
        <v>9.0286580231321467E-2</v>
      </c>
      <c r="K41" s="217">
        <f t="shared" si="3"/>
        <v>8.5772251219755393</v>
      </c>
      <c r="L41" s="218">
        <f t="shared" si="4"/>
        <v>26.2</v>
      </c>
      <c r="M41" s="215">
        <f t="shared" si="10"/>
        <v>2</v>
      </c>
      <c r="N41" s="215">
        <f t="shared" si="10"/>
        <v>1</v>
      </c>
      <c r="O41" s="218">
        <f t="shared" si="10"/>
        <v>0.5</v>
      </c>
      <c r="P41" s="218">
        <f t="shared" si="10"/>
        <v>1.5</v>
      </c>
      <c r="Q41" s="217">
        <f t="shared" si="10"/>
        <v>0.25</v>
      </c>
      <c r="R41" s="219"/>
      <c r="S41" s="8"/>
      <c r="T41" s="70"/>
      <c r="U41" s="71"/>
      <c r="V41" s="68"/>
      <c r="W41" s="72"/>
      <c r="X41" s="72"/>
      <c r="Y41" s="72"/>
      <c r="Z41" s="73"/>
      <c r="AA41" s="321"/>
      <c r="AB41" s="74"/>
      <c r="AC41" s="69"/>
      <c r="AD41" s="69"/>
      <c r="AE41" s="67"/>
      <c r="AF41" s="93"/>
      <c r="AG41" s="47"/>
      <c r="AH41" s="252"/>
      <c r="AI41" s="8"/>
      <c r="AJ41" s="109"/>
      <c r="AK41" s="109"/>
      <c r="AL41" s="265"/>
      <c r="AM41" s="62"/>
      <c r="AN41" s="266"/>
      <c r="AO41" s="109"/>
      <c r="AP41" s="232" t="s">
        <v>635</v>
      </c>
      <c r="AQ41" s="233" t="s">
        <v>589</v>
      </c>
      <c r="AR41" s="109"/>
      <c r="AS41" s="8"/>
      <c r="AT41" s="64"/>
      <c r="AU41" s="64"/>
      <c r="AV41" s="64"/>
      <c r="AW41" s="64"/>
      <c r="AX41" s="64"/>
      <c r="AY41" s="8"/>
      <c r="AZ41" s="62"/>
    </row>
    <row r="42" spans="1:52" x14ac:dyDescent="0.3">
      <c r="A42" s="8"/>
      <c r="B42" s="1816"/>
      <c r="C42" s="8"/>
      <c r="D42" s="211" t="s">
        <v>636</v>
      </c>
      <c r="E42" s="212">
        <v>66</v>
      </c>
      <c r="F42" s="212">
        <v>1.1000000000000001</v>
      </c>
      <c r="G42" s="213" t="s">
        <v>207</v>
      </c>
      <c r="H42" s="214" t="s">
        <v>205</v>
      </c>
      <c r="I42" s="215">
        <f t="shared" si="1"/>
        <v>66</v>
      </c>
      <c r="J42" s="216">
        <f t="shared" si="2"/>
        <v>9.6189381721763209E-2</v>
      </c>
      <c r="K42" s="217">
        <f t="shared" si="3"/>
        <v>6.3484991936363722</v>
      </c>
      <c r="L42" s="218">
        <f t="shared" si="4"/>
        <v>14.5</v>
      </c>
      <c r="M42" s="215">
        <f t="shared" si="10"/>
        <v>2</v>
      </c>
      <c r="N42" s="215">
        <f t="shared" si="10"/>
        <v>1</v>
      </c>
      <c r="O42" s="218">
        <f t="shared" si="10"/>
        <v>0.5</v>
      </c>
      <c r="P42" s="218">
        <f t="shared" si="10"/>
        <v>1.5</v>
      </c>
      <c r="Q42" s="217">
        <f t="shared" si="10"/>
        <v>0.25</v>
      </c>
      <c r="R42" s="219"/>
      <c r="S42" s="8"/>
      <c r="T42" s="70"/>
      <c r="U42" s="71"/>
      <c r="V42" s="68"/>
      <c r="W42" s="72"/>
      <c r="X42" s="72"/>
      <c r="Y42" s="72"/>
      <c r="Z42" s="73"/>
      <c r="AA42" s="321"/>
      <c r="AB42" s="74"/>
      <c r="AC42" s="69"/>
      <c r="AD42" s="69"/>
      <c r="AE42" s="67"/>
      <c r="AF42" s="93"/>
      <c r="AG42" s="47"/>
      <c r="AH42" s="252"/>
      <c r="AI42" s="8"/>
      <c r="AJ42" s="109"/>
      <c r="AK42" s="109"/>
      <c r="AL42" s="265"/>
      <c r="AM42" s="62"/>
      <c r="AN42" s="266"/>
      <c r="AO42" s="109"/>
      <c r="AP42" s="232" t="s">
        <v>633</v>
      </c>
      <c r="AQ42" s="233" t="s">
        <v>369</v>
      </c>
      <c r="AR42" s="109"/>
      <c r="AS42" s="8"/>
      <c r="AT42" s="64"/>
      <c r="AU42" s="64"/>
      <c r="AV42" s="64"/>
      <c r="AW42" s="64"/>
      <c r="AX42" s="64"/>
      <c r="AY42" s="8"/>
      <c r="AZ42" s="62"/>
    </row>
    <row r="43" spans="1:52" x14ac:dyDescent="0.3">
      <c r="A43" s="8"/>
      <c r="B43" s="1816"/>
      <c r="C43" s="8"/>
      <c r="D43" s="211" t="s">
        <v>212</v>
      </c>
      <c r="E43" s="212">
        <v>66</v>
      </c>
      <c r="F43" s="212">
        <v>1.1000000000000001</v>
      </c>
      <c r="G43" s="213" t="s">
        <v>575</v>
      </c>
      <c r="H43" s="214" t="s">
        <v>205</v>
      </c>
      <c r="I43" s="215">
        <f t="shared" si="1"/>
        <v>66</v>
      </c>
      <c r="J43" s="216">
        <f t="shared" si="2"/>
        <v>9.0286580231321467E-2</v>
      </c>
      <c r="K43" s="217">
        <f t="shared" si="3"/>
        <v>5.9589142952672169</v>
      </c>
      <c r="L43" s="218">
        <f t="shared" si="4"/>
        <v>26.2</v>
      </c>
      <c r="M43" s="215">
        <f t="shared" si="10"/>
        <v>2</v>
      </c>
      <c r="N43" s="215">
        <f t="shared" si="10"/>
        <v>1</v>
      </c>
      <c r="O43" s="218">
        <f t="shared" si="10"/>
        <v>0.5</v>
      </c>
      <c r="P43" s="218">
        <f t="shared" si="10"/>
        <v>1.5</v>
      </c>
      <c r="Q43" s="217">
        <f t="shared" si="10"/>
        <v>0.25</v>
      </c>
      <c r="R43" s="219"/>
      <c r="S43" s="8"/>
      <c r="T43" s="70"/>
      <c r="U43" s="71"/>
      <c r="V43" s="68"/>
      <c r="W43" s="72"/>
      <c r="X43" s="72"/>
      <c r="Y43" s="72"/>
      <c r="Z43" s="73"/>
      <c r="AA43" s="321"/>
      <c r="AB43" s="74"/>
      <c r="AC43" s="69"/>
      <c r="AD43" s="69"/>
      <c r="AE43" s="67"/>
      <c r="AF43" s="93"/>
      <c r="AG43" s="47"/>
      <c r="AH43" s="252"/>
      <c r="AI43" s="8"/>
      <c r="AJ43" s="109"/>
      <c r="AK43" s="109"/>
      <c r="AL43" s="265"/>
      <c r="AM43" s="62"/>
      <c r="AN43" s="266"/>
      <c r="AO43" s="109"/>
      <c r="AP43" s="232" t="s">
        <v>637</v>
      </c>
      <c r="AQ43" s="233" t="s">
        <v>370</v>
      </c>
      <c r="AR43" s="109"/>
      <c r="AS43" s="8"/>
      <c r="AT43" s="64"/>
      <c r="AU43" s="64"/>
      <c r="AV43" s="64"/>
      <c r="AW43" s="64"/>
      <c r="AX43" s="64"/>
      <c r="AY43" s="8"/>
      <c r="AZ43" s="62"/>
    </row>
    <row r="44" spans="1:52" x14ac:dyDescent="0.3">
      <c r="A44" s="8"/>
      <c r="B44" s="1816"/>
      <c r="C44" s="8"/>
      <c r="D44" s="211" t="s">
        <v>639</v>
      </c>
      <c r="E44" s="212">
        <v>90</v>
      </c>
      <c r="F44" s="212">
        <v>1</v>
      </c>
      <c r="G44" s="213" t="s">
        <v>610</v>
      </c>
      <c r="H44" s="214" t="s">
        <v>205</v>
      </c>
      <c r="I44" s="215">
        <f t="shared" si="1"/>
        <v>90</v>
      </c>
      <c r="J44" s="216">
        <f t="shared" si="2"/>
        <v>7.9679601949569481E-2</v>
      </c>
      <c r="K44" s="217">
        <f t="shared" si="3"/>
        <v>7.1711641754612536</v>
      </c>
      <c r="L44" s="218">
        <f t="shared" si="4"/>
        <v>42.6</v>
      </c>
      <c r="M44" s="215">
        <f t="shared" si="10"/>
        <v>2</v>
      </c>
      <c r="N44" s="215">
        <f t="shared" si="10"/>
        <v>1</v>
      </c>
      <c r="O44" s="218">
        <f t="shared" si="10"/>
        <v>0.5</v>
      </c>
      <c r="P44" s="218">
        <f t="shared" si="10"/>
        <v>1.5</v>
      </c>
      <c r="Q44" s="217">
        <f t="shared" si="10"/>
        <v>0.25</v>
      </c>
      <c r="R44" s="219"/>
      <c r="S44" s="8"/>
      <c r="T44" s="70"/>
      <c r="U44" s="71"/>
      <c r="V44" s="68"/>
      <c r="W44" s="72"/>
      <c r="X44" s="72"/>
      <c r="Y44" s="72"/>
      <c r="Z44" s="73"/>
      <c r="AA44" s="321"/>
      <c r="AB44" s="74"/>
      <c r="AC44" s="69"/>
      <c r="AD44" s="69"/>
      <c r="AE44" s="67"/>
      <c r="AF44" s="93"/>
      <c r="AG44" s="47"/>
      <c r="AH44" s="252"/>
      <c r="AI44" s="275"/>
      <c r="AJ44" s="109"/>
      <c r="AK44" s="109"/>
      <c r="AL44" s="265"/>
      <c r="AM44" s="62"/>
      <c r="AN44" s="266"/>
      <c r="AO44" s="109"/>
      <c r="AP44" s="232" t="s">
        <v>647</v>
      </c>
      <c r="AQ44" s="233" t="s">
        <v>369</v>
      </c>
      <c r="AR44" s="109"/>
      <c r="AS44" s="8"/>
      <c r="AT44" s="64"/>
      <c r="AU44" s="64"/>
      <c r="AV44" s="64"/>
      <c r="AW44" s="64"/>
      <c r="AX44" s="64"/>
      <c r="AY44" s="8"/>
      <c r="AZ44" s="62"/>
    </row>
    <row r="45" spans="1:52" x14ac:dyDescent="0.3">
      <c r="A45" s="8"/>
      <c r="B45" s="1816"/>
      <c r="C45" s="8"/>
      <c r="D45" s="211" t="s">
        <v>641</v>
      </c>
      <c r="E45" s="212">
        <v>66</v>
      </c>
      <c r="F45" s="212">
        <v>1.1000000000000001</v>
      </c>
      <c r="G45" s="213" t="s">
        <v>575</v>
      </c>
      <c r="H45" s="214" t="s">
        <v>205</v>
      </c>
      <c r="I45" s="215">
        <f t="shared" si="1"/>
        <v>66</v>
      </c>
      <c r="J45" s="216">
        <f t="shared" si="2"/>
        <v>9.0286580231321467E-2</v>
      </c>
      <c r="K45" s="217">
        <f t="shared" si="3"/>
        <v>5.9589142952672169</v>
      </c>
      <c r="L45" s="218">
        <f t="shared" si="4"/>
        <v>26.2</v>
      </c>
      <c r="M45" s="215">
        <f t="shared" si="10"/>
        <v>2</v>
      </c>
      <c r="N45" s="215">
        <f t="shared" si="10"/>
        <v>1</v>
      </c>
      <c r="O45" s="218">
        <f t="shared" si="10"/>
        <v>0.5</v>
      </c>
      <c r="P45" s="218">
        <f t="shared" si="10"/>
        <v>1.5</v>
      </c>
      <c r="Q45" s="217">
        <f t="shared" si="10"/>
        <v>0.25</v>
      </c>
      <c r="R45" s="219"/>
      <c r="S45" s="8"/>
      <c r="T45" s="70"/>
      <c r="U45" s="71"/>
      <c r="V45" s="68"/>
      <c r="W45" s="72"/>
      <c r="X45" s="72"/>
      <c r="Y45" s="72"/>
      <c r="Z45" s="73"/>
      <c r="AA45" s="321"/>
      <c r="AB45" s="74"/>
      <c r="AC45" s="69"/>
      <c r="AD45" s="69"/>
      <c r="AE45" s="67"/>
      <c r="AF45" s="93"/>
      <c r="AG45" s="47"/>
      <c r="AH45" s="252"/>
      <c r="AI45" s="8"/>
      <c r="AJ45" s="109"/>
      <c r="AK45" s="109"/>
      <c r="AL45" s="265"/>
      <c r="AM45" s="62"/>
      <c r="AN45" s="266"/>
      <c r="AO45" s="109"/>
      <c r="AP45" s="232" t="s">
        <v>649</v>
      </c>
      <c r="AQ45" s="233" t="s">
        <v>571</v>
      </c>
      <c r="AR45" s="109"/>
      <c r="AS45" s="8"/>
      <c r="AT45" s="64"/>
      <c r="AU45" s="64"/>
      <c r="AV45" s="64"/>
      <c r="AW45" s="64"/>
      <c r="AX45" s="64"/>
      <c r="AY45" s="8"/>
      <c r="AZ45" s="62"/>
    </row>
    <row r="46" spans="1:52" x14ac:dyDescent="0.3">
      <c r="A46" s="8"/>
      <c r="B46" s="1816"/>
      <c r="C46" s="8"/>
      <c r="D46" s="211" t="s">
        <v>218</v>
      </c>
      <c r="E46" s="212">
        <v>46</v>
      </c>
      <c r="F46" s="212">
        <v>1.3</v>
      </c>
      <c r="G46" s="213" t="s">
        <v>613</v>
      </c>
      <c r="H46" s="214" t="s">
        <v>205</v>
      </c>
      <c r="I46" s="215">
        <f t="shared" si="1"/>
        <v>46</v>
      </c>
      <c r="J46" s="216">
        <f t="shared" si="2"/>
        <v>8.1904844548476685E-2</v>
      </c>
      <c r="K46" s="217">
        <f t="shared" si="3"/>
        <v>3.7676228492299275</v>
      </c>
      <c r="L46" s="218">
        <f t="shared" si="4"/>
        <v>7.3</v>
      </c>
      <c r="M46" s="215">
        <f t="shared" si="10"/>
        <v>2</v>
      </c>
      <c r="N46" s="215">
        <f t="shared" si="10"/>
        <v>1</v>
      </c>
      <c r="O46" s="218">
        <f t="shared" si="10"/>
        <v>0.5</v>
      </c>
      <c r="P46" s="218">
        <f t="shared" si="10"/>
        <v>1.5</v>
      </c>
      <c r="Q46" s="217">
        <f t="shared" si="10"/>
        <v>0.25</v>
      </c>
      <c r="R46" s="219"/>
      <c r="S46" s="8"/>
      <c r="T46" s="70"/>
      <c r="U46" s="71"/>
      <c r="V46" s="68"/>
      <c r="W46" s="72"/>
      <c r="X46" s="72"/>
      <c r="Y46" s="72"/>
      <c r="Z46" s="73"/>
      <c r="AA46" s="321"/>
      <c r="AB46" s="74"/>
      <c r="AC46" s="69"/>
      <c r="AD46" s="69"/>
      <c r="AE46" s="67"/>
      <c r="AF46" s="93"/>
      <c r="AG46" s="47"/>
      <c r="AH46" s="252"/>
      <c r="AI46" s="8"/>
      <c r="AJ46" s="109"/>
      <c r="AK46" s="109"/>
      <c r="AL46" s="265"/>
      <c r="AM46" s="62"/>
      <c r="AN46" s="266"/>
      <c r="AO46" s="109"/>
      <c r="AP46" s="232" t="s">
        <v>638</v>
      </c>
      <c r="AQ46" s="233" t="s">
        <v>571</v>
      </c>
      <c r="AR46" s="109"/>
      <c r="AS46" s="8"/>
      <c r="AT46" s="64"/>
      <c r="AU46" s="64"/>
      <c r="AV46" s="64"/>
      <c r="AW46" s="64"/>
      <c r="AX46" s="64"/>
      <c r="AY46" s="8"/>
      <c r="AZ46" s="62"/>
    </row>
    <row r="47" spans="1:52" x14ac:dyDescent="0.3">
      <c r="A47" s="8"/>
      <c r="B47" s="1816"/>
      <c r="C47" s="8"/>
      <c r="D47" s="211" t="s">
        <v>644</v>
      </c>
      <c r="E47" s="212">
        <v>124</v>
      </c>
      <c r="F47" s="212">
        <v>1</v>
      </c>
      <c r="G47" s="213" t="s">
        <v>595</v>
      </c>
      <c r="H47" s="214" t="s">
        <v>578</v>
      </c>
      <c r="I47" s="215">
        <f t="shared" si="1"/>
        <v>124</v>
      </c>
      <c r="J47" s="216">
        <f t="shared" si="2"/>
        <v>9.0357385488754174E-2</v>
      </c>
      <c r="K47" s="217">
        <f t="shared" si="3"/>
        <v>11.204315800605517</v>
      </c>
      <c r="L47" s="218">
        <f t="shared" si="4"/>
        <v>42</v>
      </c>
      <c r="M47" s="215">
        <f t="shared" ref="M47:Q57" si="11">VLOOKUP($H:$H,Fixture_Usage_Table,$16:$16, FALSE)</f>
        <v>5</v>
      </c>
      <c r="N47" s="215">
        <f t="shared" si="11"/>
        <v>0</v>
      </c>
      <c r="O47" s="215">
        <f t="shared" si="11"/>
        <v>8</v>
      </c>
      <c r="P47" s="215">
        <f t="shared" si="11"/>
        <v>5</v>
      </c>
      <c r="Q47" s="215">
        <f t="shared" si="11"/>
        <v>4</v>
      </c>
      <c r="R47" s="219"/>
      <c r="S47" s="8"/>
      <c r="T47" s="70"/>
      <c r="U47" s="71"/>
      <c r="V47" s="68"/>
      <c r="W47" s="72"/>
      <c r="X47" s="72"/>
      <c r="Y47" s="72"/>
      <c r="Z47" s="73"/>
      <c r="AA47" s="321"/>
      <c r="AB47" s="74"/>
      <c r="AC47" s="69"/>
      <c r="AD47" s="69"/>
      <c r="AE47" s="67"/>
      <c r="AF47" s="93"/>
      <c r="AG47" s="47"/>
      <c r="AH47" s="252"/>
      <c r="AI47" s="8"/>
      <c r="AJ47" s="109"/>
      <c r="AK47" s="109"/>
      <c r="AL47" s="265"/>
      <c r="AM47" s="62"/>
      <c r="AN47" s="266"/>
      <c r="AO47" s="109"/>
      <c r="AP47" s="232" t="s">
        <v>642</v>
      </c>
      <c r="AQ47" s="233" t="s">
        <v>589</v>
      </c>
      <c r="AR47" s="109"/>
      <c r="AS47" s="8"/>
      <c r="AT47" s="64"/>
      <c r="AU47" s="64"/>
      <c r="AV47" s="64"/>
      <c r="AW47" s="64"/>
      <c r="AX47" s="64"/>
      <c r="AY47" s="8"/>
      <c r="AZ47" s="62"/>
    </row>
    <row r="48" spans="1:52" x14ac:dyDescent="0.3">
      <c r="A48" s="8"/>
      <c r="B48" s="1816"/>
      <c r="C48" s="8"/>
      <c r="D48" s="211" t="s">
        <v>595</v>
      </c>
      <c r="E48" s="212">
        <v>79</v>
      </c>
      <c r="F48" s="212">
        <v>0.7</v>
      </c>
      <c r="G48" s="213" t="s">
        <v>595</v>
      </c>
      <c r="H48" s="214" t="s">
        <v>578</v>
      </c>
      <c r="I48" s="215">
        <f t="shared" si="1"/>
        <v>79</v>
      </c>
      <c r="J48" s="216">
        <f t="shared" si="2"/>
        <v>9.0357385488754174E-2</v>
      </c>
      <c r="K48" s="217">
        <f t="shared" si="3"/>
        <v>7.1382334536115799</v>
      </c>
      <c r="L48" s="218">
        <f t="shared" si="4"/>
        <v>42</v>
      </c>
      <c r="M48" s="215">
        <f t="shared" si="11"/>
        <v>5</v>
      </c>
      <c r="N48" s="215">
        <f t="shared" si="11"/>
        <v>0</v>
      </c>
      <c r="O48" s="215">
        <f t="shared" si="11"/>
        <v>8</v>
      </c>
      <c r="P48" s="215">
        <f t="shared" si="11"/>
        <v>5</v>
      </c>
      <c r="Q48" s="215">
        <f t="shared" si="11"/>
        <v>4</v>
      </c>
      <c r="R48" s="219"/>
      <c r="S48" s="8"/>
      <c r="T48" s="70"/>
      <c r="U48" s="71"/>
      <c r="V48" s="68"/>
      <c r="W48" s="72"/>
      <c r="X48" s="72"/>
      <c r="Y48" s="72"/>
      <c r="Z48" s="73"/>
      <c r="AA48" s="321"/>
      <c r="AB48" s="74"/>
      <c r="AC48" s="69"/>
      <c r="AD48" s="69"/>
      <c r="AE48" s="67"/>
      <c r="AF48" s="93"/>
      <c r="AG48" s="47"/>
      <c r="AH48" s="252"/>
      <c r="AI48" s="8"/>
      <c r="AJ48" s="109"/>
      <c r="AK48" s="109"/>
      <c r="AL48" s="265"/>
      <c r="AM48" s="62"/>
      <c r="AN48" s="266"/>
      <c r="AO48" s="109"/>
      <c r="AP48" s="232" t="s">
        <v>643</v>
      </c>
      <c r="AQ48" s="233" t="s">
        <v>589</v>
      </c>
      <c r="AR48" s="109"/>
      <c r="AS48" s="8"/>
      <c r="AT48" s="64"/>
      <c r="AU48" s="64"/>
      <c r="AV48" s="64"/>
      <c r="AW48" s="64"/>
      <c r="AX48" s="64"/>
      <c r="AY48" s="8"/>
      <c r="AZ48" s="62"/>
    </row>
    <row r="49" spans="1:52" x14ac:dyDescent="0.3">
      <c r="A49" s="8"/>
      <c r="B49" s="1816"/>
      <c r="C49" s="8"/>
      <c r="D49" s="211" t="s">
        <v>601</v>
      </c>
      <c r="E49" s="212"/>
      <c r="F49" s="212">
        <v>0.7</v>
      </c>
      <c r="G49" s="213" t="s">
        <v>601</v>
      </c>
      <c r="H49" s="214" t="s">
        <v>578</v>
      </c>
      <c r="I49" s="215">
        <f t="shared" si="1"/>
        <v>0</v>
      </c>
      <c r="J49" s="216">
        <f t="shared" si="2"/>
        <v>8.2136136965478196E-2</v>
      </c>
      <c r="K49" s="217">
        <f t="shared" si="3"/>
        <v>0</v>
      </c>
      <c r="L49" s="218">
        <f t="shared" si="4"/>
        <v>0</v>
      </c>
      <c r="M49" s="215">
        <f t="shared" si="11"/>
        <v>5</v>
      </c>
      <c r="N49" s="215">
        <f t="shared" si="11"/>
        <v>0</v>
      </c>
      <c r="O49" s="215">
        <f t="shared" si="11"/>
        <v>8</v>
      </c>
      <c r="P49" s="215">
        <f t="shared" si="11"/>
        <v>5</v>
      </c>
      <c r="Q49" s="215">
        <f t="shared" si="11"/>
        <v>4</v>
      </c>
      <c r="R49" s="219"/>
      <c r="S49" s="8"/>
      <c r="T49" s="70"/>
      <c r="U49" s="71"/>
      <c r="V49" s="68"/>
      <c r="W49" s="72"/>
      <c r="X49" s="72"/>
      <c r="Y49" s="72"/>
      <c r="Z49" s="73"/>
      <c r="AA49" s="321"/>
      <c r="AB49" s="74"/>
      <c r="AC49" s="69"/>
      <c r="AD49" s="69"/>
      <c r="AE49" s="67"/>
      <c r="AF49" s="93"/>
      <c r="AG49" s="47"/>
      <c r="AH49" s="252"/>
      <c r="AI49" s="8"/>
      <c r="AJ49" s="109"/>
      <c r="AK49" s="109"/>
      <c r="AL49" s="265"/>
      <c r="AM49" s="62"/>
      <c r="AN49" s="266"/>
      <c r="AO49" s="109"/>
      <c r="AP49" s="232" t="s">
        <v>645</v>
      </c>
      <c r="AQ49" s="233" t="s">
        <v>370</v>
      </c>
      <c r="AR49" s="109"/>
      <c r="AS49" s="8"/>
      <c r="AT49" s="64"/>
      <c r="AU49" s="64"/>
      <c r="AV49" s="64"/>
      <c r="AW49" s="64"/>
      <c r="AX49" s="64"/>
      <c r="AY49" s="8"/>
      <c r="AZ49" s="62"/>
    </row>
    <row r="50" spans="1:52" x14ac:dyDescent="0.3">
      <c r="A50" s="8"/>
      <c r="B50" s="1816"/>
      <c r="C50" s="8"/>
      <c r="D50" s="211" t="s">
        <v>648</v>
      </c>
      <c r="E50" s="212">
        <v>47</v>
      </c>
      <c r="F50" s="212">
        <v>1.5</v>
      </c>
      <c r="G50" s="213" t="s">
        <v>616</v>
      </c>
      <c r="H50" s="214" t="s">
        <v>205</v>
      </c>
      <c r="I50" s="215">
        <f t="shared" si="1"/>
        <v>47</v>
      </c>
      <c r="J50" s="216">
        <f t="shared" si="2"/>
        <v>9.9695204111894489E-2</v>
      </c>
      <c r="K50" s="217">
        <f t="shared" si="3"/>
        <v>4.6856745932590407</v>
      </c>
      <c r="L50" s="218">
        <f t="shared" si="4"/>
        <v>8</v>
      </c>
      <c r="M50" s="215">
        <f t="shared" si="11"/>
        <v>2</v>
      </c>
      <c r="N50" s="215">
        <f t="shared" si="11"/>
        <v>1</v>
      </c>
      <c r="O50" s="218">
        <f t="shared" si="11"/>
        <v>0.5</v>
      </c>
      <c r="P50" s="218">
        <f t="shared" si="11"/>
        <v>1.5</v>
      </c>
      <c r="Q50" s="217">
        <f t="shared" si="11"/>
        <v>0.25</v>
      </c>
      <c r="R50" s="219"/>
      <c r="S50" s="8"/>
      <c r="T50" s="70"/>
      <c r="U50" s="71"/>
      <c r="V50" s="68"/>
      <c r="W50" s="72"/>
      <c r="X50" s="72"/>
      <c r="Y50" s="72"/>
      <c r="Z50" s="73"/>
      <c r="AA50" s="321"/>
      <c r="AB50" s="74"/>
      <c r="AC50" s="69"/>
      <c r="AD50" s="69"/>
      <c r="AE50" s="67"/>
      <c r="AF50" s="93"/>
      <c r="AG50" s="275"/>
      <c r="AH50" s="276"/>
      <c r="AI50" s="8"/>
      <c r="AJ50" s="109"/>
      <c r="AK50" s="109"/>
      <c r="AL50" s="265"/>
      <c r="AM50" s="62"/>
      <c r="AN50" s="266"/>
      <c r="AO50" s="109"/>
      <c r="AP50" s="232" t="s">
        <v>640</v>
      </c>
      <c r="AQ50" s="233" t="s">
        <v>370</v>
      </c>
      <c r="AR50" s="109"/>
      <c r="AS50" s="8"/>
      <c r="AT50" s="64"/>
      <c r="AU50" s="64"/>
      <c r="AV50" s="64"/>
      <c r="AW50" s="64"/>
      <c r="AX50" s="64"/>
      <c r="AY50" s="8"/>
      <c r="AZ50" s="62"/>
    </row>
    <row r="51" spans="1:52" x14ac:dyDescent="0.3">
      <c r="A51" s="8"/>
      <c r="B51" s="1816"/>
      <c r="C51" s="8"/>
      <c r="D51" s="211" t="s">
        <v>650</v>
      </c>
      <c r="E51" s="212">
        <v>192</v>
      </c>
      <c r="F51" s="212">
        <v>1.5</v>
      </c>
      <c r="G51" s="213" t="s">
        <v>616</v>
      </c>
      <c r="H51" s="214" t="s">
        <v>205</v>
      </c>
      <c r="I51" s="215">
        <f t="shared" si="1"/>
        <v>192</v>
      </c>
      <c r="J51" s="216">
        <f t="shared" si="2"/>
        <v>9.9695204111894489E-2</v>
      </c>
      <c r="K51" s="217">
        <f t="shared" si="3"/>
        <v>19.141479189483743</v>
      </c>
      <c r="L51" s="218">
        <f t="shared" si="4"/>
        <v>8</v>
      </c>
      <c r="M51" s="215">
        <f t="shared" si="11"/>
        <v>2</v>
      </c>
      <c r="N51" s="215">
        <f t="shared" si="11"/>
        <v>1</v>
      </c>
      <c r="O51" s="218">
        <f t="shared" si="11"/>
        <v>0.5</v>
      </c>
      <c r="P51" s="218">
        <f t="shared" si="11"/>
        <v>1.5</v>
      </c>
      <c r="Q51" s="217">
        <f t="shared" si="11"/>
        <v>0.25</v>
      </c>
      <c r="R51" s="219"/>
      <c r="S51" s="8"/>
      <c r="T51" s="70"/>
      <c r="U51" s="71"/>
      <c r="V51" s="68"/>
      <c r="W51" s="72"/>
      <c r="X51" s="72"/>
      <c r="Y51" s="72"/>
      <c r="Z51" s="73"/>
      <c r="AA51" s="321"/>
      <c r="AB51" s="74"/>
      <c r="AC51" s="69"/>
      <c r="AD51" s="69"/>
      <c r="AE51" s="67"/>
      <c r="AF51" s="107"/>
      <c r="AG51" s="47"/>
      <c r="AH51" s="252"/>
      <c r="AI51" s="8"/>
      <c r="AJ51" s="109"/>
      <c r="AK51" s="109"/>
      <c r="AL51" s="265"/>
      <c r="AM51" s="62"/>
      <c r="AN51" s="266"/>
      <c r="AO51" s="109"/>
      <c r="AP51" s="232" t="s">
        <v>646</v>
      </c>
      <c r="AQ51" s="233" t="s">
        <v>589</v>
      </c>
      <c r="AR51" s="109"/>
      <c r="AS51" s="8"/>
      <c r="AT51" s="64"/>
      <c r="AU51" s="64"/>
      <c r="AV51" s="64"/>
      <c r="AW51" s="64"/>
      <c r="AX51" s="64"/>
      <c r="AY51" s="8"/>
      <c r="AZ51" s="62"/>
    </row>
    <row r="52" spans="1:52" x14ac:dyDescent="0.3">
      <c r="A52" s="8"/>
      <c r="B52" s="1816"/>
      <c r="C52" s="8"/>
      <c r="D52" s="211" t="s">
        <v>652</v>
      </c>
      <c r="E52" s="212">
        <v>72</v>
      </c>
      <c r="F52" s="212">
        <v>1.5</v>
      </c>
      <c r="G52" s="213" t="s">
        <v>616</v>
      </c>
      <c r="H52" s="214" t="s">
        <v>205</v>
      </c>
      <c r="I52" s="215">
        <f t="shared" si="1"/>
        <v>72</v>
      </c>
      <c r="J52" s="216">
        <f t="shared" si="2"/>
        <v>9.9695204111894489E-2</v>
      </c>
      <c r="K52" s="217">
        <f t="shared" si="3"/>
        <v>7.1780546960564031</v>
      </c>
      <c r="L52" s="218">
        <f t="shared" si="4"/>
        <v>8</v>
      </c>
      <c r="M52" s="215">
        <f t="shared" si="11"/>
        <v>2</v>
      </c>
      <c r="N52" s="215">
        <f t="shared" si="11"/>
        <v>1</v>
      </c>
      <c r="O52" s="218">
        <f t="shared" si="11"/>
        <v>0.5</v>
      </c>
      <c r="P52" s="218">
        <f t="shared" si="11"/>
        <v>1.5</v>
      </c>
      <c r="Q52" s="217">
        <f t="shared" si="11"/>
        <v>0.25</v>
      </c>
      <c r="R52" s="219"/>
      <c r="S52" s="8"/>
      <c r="T52" s="70"/>
      <c r="U52" s="71"/>
      <c r="V52" s="68"/>
      <c r="W52" s="72"/>
      <c r="X52" s="72"/>
      <c r="Y52" s="72"/>
      <c r="Z52" s="73"/>
      <c r="AA52" s="321"/>
      <c r="AB52" s="74"/>
      <c r="AC52" s="69"/>
      <c r="AD52" s="69"/>
      <c r="AE52" s="67"/>
      <c r="AF52" s="107"/>
      <c r="AG52" s="47"/>
      <c r="AH52" s="252"/>
      <c r="AI52" s="8"/>
      <c r="AJ52" s="109"/>
      <c r="AK52" s="109"/>
      <c r="AL52" s="265"/>
      <c r="AM52" s="62"/>
      <c r="AN52" s="266"/>
      <c r="AO52" s="109"/>
      <c r="AP52" s="232" t="s">
        <v>651</v>
      </c>
      <c r="AQ52" s="233" t="s">
        <v>571</v>
      </c>
      <c r="AR52" s="109"/>
      <c r="AS52" s="8"/>
      <c r="AT52" s="64"/>
      <c r="AU52" s="64"/>
      <c r="AV52" s="64"/>
      <c r="AW52" s="64"/>
      <c r="AX52" s="64"/>
      <c r="AY52" s="8"/>
      <c r="AZ52" s="62"/>
    </row>
    <row r="53" spans="1:52" x14ac:dyDescent="0.3">
      <c r="A53" s="8"/>
      <c r="B53" s="1816"/>
      <c r="C53" s="8"/>
      <c r="D53" s="211" t="s">
        <v>654</v>
      </c>
      <c r="E53" s="212">
        <v>107</v>
      </c>
      <c r="F53" s="212">
        <v>1.5</v>
      </c>
      <c r="G53" s="213" t="s">
        <v>197</v>
      </c>
      <c r="H53" s="214" t="s">
        <v>205</v>
      </c>
      <c r="I53" s="215">
        <f t="shared" si="1"/>
        <v>107</v>
      </c>
      <c r="J53" s="216">
        <f t="shared" si="2"/>
        <v>9.284043642648232E-2</v>
      </c>
      <c r="K53" s="217">
        <f t="shared" si="3"/>
        <v>9.9339266976336091</v>
      </c>
      <c r="L53" s="218">
        <f t="shared" si="4"/>
        <v>11.3</v>
      </c>
      <c r="M53" s="215">
        <f t="shared" si="11"/>
        <v>2</v>
      </c>
      <c r="N53" s="215">
        <f t="shared" si="11"/>
        <v>1</v>
      </c>
      <c r="O53" s="218">
        <f t="shared" si="11"/>
        <v>0.5</v>
      </c>
      <c r="P53" s="218">
        <f t="shared" si="11"/>
        <v>1.5</v>
      </c>
      <c r="Q53" s="217">
        <f t="shared" si="11"/>
        <v>0.25</v>
      </c>
      <c r="R53" s="219"/>
      <c r="S53" s="8"/>
      <c r="T53" s="70"/>
      <c r="U53" s="71"/>
      <c r="V53" s="68"/>
      <c r="W53" s="72"/>
      <c r="X53" s="72"/>
      <c r="Y53" s="72"/>
      <c r="Z53" s="73"/>
      <c r="AA53" s="321"/>
      <c r="AB53" s="74"/>
      <c r="AC53" s="69"/>
      <c r="AD53" s="69"/>
      <c r="AE53" s="67"/>
      <c r="AF53" s="107"/>
      <c r="AG53" s="47"/>
      <c r="AH53" s="252"/>
      <c r="AI53" s="8"/>
      <c r="AJ53" s="109"/>
      <c r="AK53" s="109"/>
      <c r="AL53" s="265"/>
      <c r="AM53" s="62"/>
      <c r="AN53" s="266"/>
      <c r="AO53" s="109"/>
      <c r="AP53" s="232" t="s">
        <v>653</v>
      </c>
      <c r="AQ53" s="233" t="s">
        <v>370</v>
      </c>
      <c r="AR53" s="109"/>
      <c r="AS53" s="8"/>
      <c r="AT53" s="64"/>
      <c r="AU53" s="64"/>
      <c r="AV53" s="64"/>
      <c r="AW53" s="64"/>
      <c r="AX53" s="64"/>
      <c r="AY53" s="8"/>
      <c r="AZ53" s="62"/>
    </row>
    <row r="54" spans="1:52" x14ac:dyDescent="0.3">
      <c r="A54" s="8"/>
      <c r="B54" s="1816"/>
      <c r="C54" s="8"/>
      <c r="D54" s="211" t="s">
        <v>656</v>
      </c>
      <c r="E54" s="212">
        <v>31</v>
      </c>
      <c r="F54" s="212">
        <v>0.8</v>
      </c>
      <c r="G54" s="213" t="s">
        <v>225</v>
      </c>
      <c r="H54" s="214" t="s">
        <v>205</v>
      </c>
      <c r="I54" s="215">
        <f t="shared" si="1"/>
        <v>31</v>
      </c>
      <c r="J54" s="216">
        <f t="shared" si="2"/>
        <v>9.3083233542138086E-2</v>
      </c>
      <c r="K54" s="217">
        <f t="shared" si="3"/>
        <v>2.8855802398062806</v>
      </c>
      <c r="L54" s="218">
        <f t="shared" si="4"/>
        <v>3.4</v>
      </c>
      <c r="M54" s="215">
        <f t="shared" si="11"/>
        <v>2</v>
      </c>
      <c r="N54" s="215">
        <f t="shared" si="11"/>
        <v>1</v>
      </c>
      <c r="O54" s="218">
        <f t="shared" si="11"/>
        <v>0.5</v>
      </c>
      <c r="P54" s="218">
        <f t="shared" si="11"/>
        <v>1.5</v>
      </c>
      <c r="Q54" s="217">
        <f t="shared" si="11"/>
        <v>0.25</v>
      </c>
      <c r="R54" s="219"/>
      <c r="S54" s="8"/>
      <c r="T54" s="70"/>
      <c r="U54" s="71"/>
      <c r="V54" s="68"/>
      <c r="W54" s="72"/>
      <c r="X54" s="72"/>
      <c r="Y54" s="72"/>
      <c r="Z54" s="73"/>
      <c r="AA54" s="321"/>
      <c r="AB54" s="74"/>
      <c r="AC54" s="69"/>
      <c r="AD54" s="69"/>
      <c r="AE54" s="67"/>
      <c r="AF54" s="107"/>
      <c r="AG54" s="47"/>
      <c r="AH54" s="252"/>
      <c r="AI54" s="8"/>
      <c r="AJ54" s="109"/>
      <c r="AK54" s="109"/>
      <c r="AL54" s="265"/>
      <c r="AM54" s="62"/>
      <c r="AN54" s="266"/>
      <c r="AO54" s="109"/>
      <c r="AP54" s="232" t="s">
        <v>655</v>
      </c>
      <c r="AQ54" s="233" t="s">
        <v>370</v>
      </c>
      <c r="AR54" s="109"/>
      <c r="AS54" s="8"/>
      <c r="AT54" s="64"/>
      <c r="AU54" s="64"/>
      <c r="AV54" s="64"/>
      <c r="AW54" s="64"/>
      <c r="AX54" s="64"/>
      <c r="AY54" s="8"/>
      <c r="AZ54" s="62"/>
    </row>
    <row r="55" spans="1:52" x14ac:dyDescent="0.3">
      <c r="A55" s="8"/>
      <c r="B55" s="1816"/>
      <c r="C55" s="8"/>
      <c r="D55" s="211" t="s">
        <v>658</v>
      </c>
      <c r="E55" s="212">
        <v>77</v>
      </c>
      <c r="F55" s="212">
        <v>1.4</v>
      </c>
      <c r="G55" s="213" t="s">
        <v>619</v>
      </c>
      <c r="H55" s="214" t="s">
        <v>205</v>
      </c>
      <c r="I55" s="215">
        <f t="shared" si="1"/>
        <v>77</v>
      </c>
      <c r="J55" s="216">
        <f t="shared" si="2"/>
        <v>8.1091357097611713E-2</v>
      </c>
      <c r="K55" s="217">
        <f t="shared" si="3"/>
        <v>6.2440344965161021</v>
      </c>
      <c r="L55" s="218">
        <f t="shared" si="4"/>
        <v>12.6</v>
      </c>
      <c r="M55" s="215">
        <f t="shared" si="11"/>
        <v>2</v>
      </c>
      <c r="N55" s="215">
        <f t="shared" si="11"/>
        <v>1</v>
      </c>
      <c r="O55" s="218">
        <f t="shared" si="11"/>
        <v>0.5</v>
      </c>
      <c r="P55" s="218">
        <f t="shared" si="11"/>
        <v>1.5</v>
      </c>
      <c r="Q55" s="217">
        <f t="shared" si="11"/>
        <v>0.25</v>
      </c>
      <c r="R55" s="219"/>
      <c r="S55" s="64"/>
      <c r="T55" s="70"/>
      <c r="U55" s="71"/>
      <c r="V55" s="68"/>
      <c r="W55" s="72"/>
      <c r="X55" s="72"/>
      <c r="Y55" s="72"/>
      <c r="Z55" s="73"/>
      <c r="AA55" s="321"/>
      <c r="AB55" s="74"/>
      <c r="AC55" s="69"/>
      <c r="AD55" s="69"/>
      <c r="AE55" s="67"/>
      <c r="AF55" s="107"/>
      <c r="AG55" s="47"/>
      <c r="AH55" s="252"/>
      <c r="AI55" s="8"/>
      <c r="AJ55" s="109"/>
      <c r="AK55" s="109"/>
      <c r="AL55" s="265"/>
      <c r="AM55" s="62"/>
      <c r="AN55" s="266"/>
      <c r="AO55" s="109"/>
      <c r="AP55" s="232" t="s">
        <v>657</v>
      </c>
      <c r="AQ55" s="233" t="s">
        <v>589</v>
      </c>
      <c r="AR55" s="109"/>
      <c r="AS55" s="8"/>
      <c r="AT55" s="64"/>
      <c r="AU55" s="64"/>
      <c r="AV55" s="64"/>
      <c r="AW55" s="64"/>
      <c r="AX55" s="64"/>
      <c r="AY55" s="8"/>
      <c r="AZ55" s="62"/>
    </row>
    <row r="56" spans="1:52" x14ac:dyDescent="0.3">
      <c r="A56" s="8"/>
      <c r="B56" s="1816"/>
      <c r="C56" s="8"/>
      <c r="D56" s="211" t="s">
        <v>660</v>
      </c>
      <c r="E56" s="212">
        <v>26</v>
      </c>
      <c r="F56" s="212">
        <v>0.8</v>
      </c>
      <c r="G56" s="213" t="s">
        <v>225</v>
      </c>
      <c r="H56" s="214" t="s">
        <v>205</v>
      </c>
      <c r="I56" s="215">
        <f t="shared" si="1"/>
        <v>26</v>
      </c>
      <c r="J56" s="216">
        <f t="shared" si="2"/>
        <v>9.3083233542138086E-2</v>
      </c>
      <c r="K56" s="217">
        <f t="shared" si="3"/>
        <v>2.4201640720955901</v>
      </c>
      <c r="L56" s="218">
        <f t="shared" si="4"/>
        <v>3.4</v>
      </c>
      <c r="M56" s="215">
        <f t="shared" si="11"/>
        <v>2</v>
      </c>
      <c r="N56" s="215">
        <f t="shared" si="11"/>
        <v>1</v>
      </c>
      <c r="O56" s="218">
        <f t="shared" si="11"/>
        <v>0.5</v>
      </c>
      <c r="P56" s="218">
        <f t="shared" si="11"/>
        <v>1.5</v>
      </c>
      <c r="Q56" s="217">
        <f t="shared" si="11"/>
        <v>0.25</v>
      </c>
      <c r="R56" s="219"/>
      <c r="S56" s="64"/>
      <c r="T56" s="70"/>
      <c r="U56" s="71"/>
      <c r="V56" s="68"/>
      <c r="W56" s="72"/>
      <c r="X56" s="72"/>
      <c r="Y56" s="72"/>
      <c r="Z56" s="73"/>
      <c r="AA56" s="321"/>
      <c r="AB56" s="74"/>
      <c r="AC56" s="69"/>
      <c r="AD56" s="69"/>
      <c r="AE56" s="67"/>
      <c r="AF56" s="107"/>
      <c r="AG56" s="47"/>
      <c r="AH56" s="252"/>
      <c r="AI56" s="8"/>
      <c r="AJ56" s="109"/>
      <c r="AK56" s="109"/>
      <c r="AL56" s="265"/>
      <c r="AM56" s="62"/>
      <c r="AN56" s="266"/>
      <c r="AO56" s="109"/>
      <c r="AP56" s="232" t="s">
        <v>659</v>
      </c>
      <c r="AQ56" s="233" t="s">
        <v>589</v>
      </c>
      <c r="AR56" s="109"/>
      <c r="AS56" s="8"/>
      <c r="AT56" s="64"/>
      <c r="AU56" s="64"/>
      <c r="AV56" s="64"/>
      <c r="AW56" s="64"/>
      <c r="AX56" s="64"/>
      <c r="AY56" s="8"/>
      <c r="AZ56" s="62"/>
    </row>
    <row r="57" spans="1:52" x14ac:dyDescent="0.3">
      <c r="A57" s="8"/>
      <c r="B57" s="1816"/>
      <c r="C57" s="8"/>
      <c r="D57" s="211" t="s">
        <v>662</v>
      </c>
      <c r="E57" s="212">
        <v>127</v>
      </c>
      <c r="F57" s="212">
        <v>0.8</v>
      </c>
      <c r="G57" s="213" t="s">
        <v>225</v>
      </c>
      <c r="H57" s="214" t="s">
        <v>205</v>
      </c>
      <c r="I57" s="215">
        <f t="shared" si="1"/>
        <v>127</v>
      </c>
      <c r="J57" s="216">
        <f t="shared" si="2"/>
        <v>9.3083233542138086E-2</v>
      </c>
      <c r="K57" s="217">
        <f t="shared" si="3"/>
        <v>11.821570659851536</v>
      </c>
      <c r="L57" s="218">
        <f t="shared" si="4"/>
        <v>3.4</v>
      </c>
      <c r="M57" s="215">
        <f t="shared" si="11"/>
        <v>2</v>
      </c>
      <c r="N57" s="215">
        <f t="shared" si="11"/>
        <v>1</v>
      </c>
      <c r="O57" s="218">
        <f t="shared" si="11"/>
        <v>0.5</v>
      </c>
      <c r="P57" s="218">
        <f t="shared" si="11"/>
        <v>1.5</v>
      </c>
      <c r="Q57" s="217">
        <f t="shared" si="11"/>
        <v>0.25</v>
      </c>
      <c r="R57" s="219"/>
      <c r="S57" s="64"/>
      <c r="T57" s="70"/>
      <c r="U57" s="71"/>
      <c r="V57" s="68"/>
      <c r="W57" s="72"/>
      <c r="X57" s="72"/>
      <c r="Y57" s="72"/>
      <c r="Z57" s="73"/>
      <c r="AA57" s="321"/>
      <c r="AB57" s="74"/>
      <c r="AC57" s="69"/>
      <c r="AD57" s="69"/>
      <c r="AE57" s="67"/>
      <c r="AF57" s="107"/>
      <c r="AG57" s="47"/>
      <c r="AH57" s="252"/>
      <c r="AI57" s="8"/>
      <c r="AJ57" s="109"/>
      <c r="AK57" s="109"/>
      <c r="AL57" s="265"/>
      <c r="AM57" s="62"/>
      <c r="AN57" s="266"/>
      <c r="AO57" s="109"/>
      <c r="AP57" s="232" t="s">
        <v>661</v>
      </c>
      <c r="AQ57" s="233" t="s">
        <v>369</v>
      </c>
      <c r="AR57" s="109"/>
      <c r="AS57" s="8"/>
      <c r="AT57" s="64"/>
      <c r="AU57" s="64"/>
      <c r="AV57" s="64"/>
      <c r="AW57" s="64"/>
      <c r="AX57" s="64"/>
      <c r="AY57" s="8"/>
      <c r="AZ57" s="62"/>
    </row>
    <row r="58" spans="1:52" x14ac:dyDescent="0.3">
      <c r="A58" s="8"/>
      <c r="B58" s="1816"/>
      <c r="C58" s="8"/>
      <c r="D58" s="211"/>
      <c r="E58" s="212"/>
      <c r="F58" s="212"/>
      <c r="G58" s="213"/>
      <c r="H58" s="214"/>
      <c r="I58" s="215"/>
      <c r="J58" s="216"/>
      <c r="K58" s="217"/>
      <c r="L58" s="218"/>
      <c r="M58" s="218"/>
      <c r="N58" s="218"/>
      <c r="O58" s="218"/>
      <c r="P58" s="218"/>
      <c r="Q58" s="218"/>
      <c r="R58" s="219"/>
      <c r="S58" s="64"/>
      <c r="T58" s="70"/>
      <c r="U58" s="71"/>
      <c r="V58" s="68"/>
      <c r="W58" s="72"/>
      <c r="X58" s="72"/>
      <c r="Y58" s="72"/>
      <c r="Z58" s="73"/>
      <c r="AA58" s="321"/>
      <c r="AB58" s="74"/>
      <c r="AC58" s="69"/>
      <c r="AD58" s="69"/>
      <c r="AE58" s="67"/>
      <c r="AF58" s="107"/>
      <c r="AG58" s="47"/>
      <c r="AH58" s="252"/>
      <c r="AI58" s="8"/>
      <c r="AJ58" s="109"/>
      <c r="AK58" s="109"/>
      <c r="AL58" s="265"/>
      <c r="AM58" s="62"/>
      <c r="AN58" s="266"/>
      <c r="AO58" s="109"/>
      <c r="AP58" s="232" t="s">
        <v>663</v>
      </c>
      <c r="AQ58" s="233" t="s">
        <v>571</v>
      </c>
      <c r="AR58" s="109"/>
      <c r="AS58" s="8"/>
      <c r="AT58" s="64"/>
      <c r="AU58" s="64"/>
      <c r="AV58" s="64"/>
      <c r="AW58" s="64"/>
      <c r="AX58" s="64"/>
      <c r="AY58" s="8"/>
      <c r="AZ58" s="62"/>
    </row>
    <row r="59" spans="1:52" ht="13.5" thickBot="1" x14ac:dyDescent="0.35">
      <c r="A59" s="8"/>
      <c r="B59" s="1816"/>
      <c r="C59" s="8"/>
      <c r="D59" s="267"/>
      <c r="E59" s="277"/>
      <c r="F59" s="277"/>
      <c r="G59" s="278"/>
      <c r="H59" s="279"/>
      <c r="I59" s="280"/>
      <c r="J59" s="281"/>
      <c r="K59" s="282"/>
      <c r="L59" s="273"/>
      <c r="M59" s="273"/>
      <c r="N59" s="273"/>
      <c r="O59" s="273"/>
      <c r="P59" s="273"/>
      <c r="Q59" s="273"/>
      <c r="R59" s="283"/>
      <c r="S59" s="64"/>
      <c r="T59" s="70"/>
      <c r="U59" s="71"/>
      <c r="V59" s="68"/>
      <c r="W59" s="72"/>
      <c r="X59" s="72"/>
      <c r="Y59" s="72"/>
      <c r="Z59" s="73"/>
      <c r="AA59" s="321"/>
      <c r="AB59" s="74"/>
      <c r="AC59" s="69"/>
      <c r="AD59" s="69"/>
      <c r="AE59" s="67"/>
      <c r="AF59" s="107"/>
      <c r="AG59" s="47"/>
      <c r="AH59" s="252"/>
      <c r="AI59" s="8"/>
      <c r="AJ59" s="109"/>
      <c r="AK59" s="109"/>
      <c r="AL59" s="265"/>
      <c r="AM59" s="62"/>
      <c r="AN59" s="266"/>
      <c r="AO59" s="109"/>
      <c r="AP59" s="232" t="s">
        <v>664</v>
      </c>
      <c r="AQ59" s="233" t="s">
        <v>369</v>
      </c>
      <c r="AR59" s="109"/>
      <c r="AS59" s="8"/>
      <c r="AT59" s="64"/>
      <c r="AU59" s="64"/>
      <c r="AV59" s="64"/>
      <c r="AW59" s="64"/>
      <c r="AX59" s="64"/>
      <c r="AY59" s="8"/>
      <c r="AZ59" s="62"/>
    </row>
    <row r="60" spans="1:52" x14ac:dyDescent="0.3">
      <c r="A60" s="8"/>
      <c r="B60" s="8"/>
      <c r="C60" s="8"/>
      <c r="D60" s="8"/>
      <c r="E60" s="94"/>
      <c r="F60" s="64"/>
      <c r="G60" s="8"/>
      <c r="H60" s="65"/>
      <c r="I60" s="66"/>
      <c r="J60" s="67"/>
      <c r="K60" s="68"/>
      <c r="L60" s="69"/>
      <c r="M60" s="69"/>
      <c r="N60" s="69"/>
      <c r="O60" s="69"/>
      <c r="P60" s="69"/>
      <c r="Q60" s="69"/>
      <c r="R60" s="65"/>
      <c r="S60" s="64"/>
      <c r="T60" s="70"/>
      <c r="U60" s="71"/>
      <c r="V60" s="68"/>
      <c r="W60" s="72"/>
      <c r="X60" s="72"/>
      <c r="Y60" s="72"/>
      <c r="Z60" s="73"/>
      <c r="AA60" s="321"/>
      <c r="AB60" s="74"/>
      <c r="AC60" s="69"/>
      <c r="AD60" s="69"/>
      <c r="AE60" s="67"/>
      <c r="AF60" s="107"/>
      <c r="AG60" s="47"/>
      <c r="AH60" s="252"/>
      <c r="AI60" s="8"/>
      <c r="AJ60" s="109"/>
      <c r="AK60" s="109"/>
      <c r="AL60" s="265"/>
      <c r="AM60" s="62"/>
      <c r="AN60" s="266"/>
      <c r="AO60" s="109"/>
      <c r="AP60" s="232" t="s">
        <v>665</v>
      </c>
      <c r="AQ60" s="233" t="s">
        <v>369</v>
      </c>
      <c r="AR60" s="109"/>
      <c r="AS60" s="8"/>
      <c r="AT60" s="64"/>
      <c r="AU60" s="64"/>
      <c r="AV60" s="64"/>
      <c r="AW60" s="64"/>
      <c r="AX60" s="64"/>
      <c r="AY60" s="8"/>
      <c r="AZ60" s="62"/>
    </row>
    <row r="61" spans="1:52" x14ac:dyDescent="0.3">
      <c r="A61" s="8"/>
      <c r="B61" s="8"/>
      <c r="C61" s="8"/>
      <c r="D61" s="8"/>
      <c r="E61" s="94"/>
      <c r="F61" s="64"/>
      <c r="G61" s="8"/>
      <c r="H61" s="65"/>
      <c r="I61" s="66"/>
      <c r="J61" s="67"/>
      <c r="K61" s="68"/>
      <c r="L61" s="69"/>
      <c r="M61" s="69"/>
      <c r="N61" s="69"/>
      <c r="O61" s="69"/>
      <c r="P61" s="69"/>
      <c r="Q61" s="69"/>
      <c r="R61" s="65"/>
      <c r="S61" s="64"/>
      <c r="T61" s="70"/>
      <c r="U61" s="71"/>
      <c r="V61" s="68"/>
      <c r="W61" s="72"/>
      <c r="X61" s="72"/>
      <c r="Y61" s="72"/>
      <c r="Z61" s="73"/>
      <c r="AA61" s="321"/>
      <c r="AB61" s="74"/>
      <c r="AC61" s="69"/>
      <c r="AD61" s="69"/>
      <c r="AE61" s="67"/>
      <c r="AF61" s="8"/>
      <c r="AG61" s="47"/>
      <c r="AH61" s="252"/>
      <c r="AI61" s="8"/>
      <c r="AJ61" s="109"/>
      <c r="AK61" s="109"/>
      <c r="AL61" s="265"/>
      <c r="AM61" s="62"/>
      <c r="AN61" s="266"/>
      <c r="AO61" s="109"/>
      <c r="AP61" s="232" t="s">
        <v>666</v>
      </c>
      <c r="AQ61" s="233" t="s">
        <v>370</v>
      </c>
      <c r="AR61" s="109"/>
      <c r="AS61" s="8"/>
      <c r="AT61" s="64"/>
      <c r="AU61" s="64"/>
      <c r="AV61" s="64"/>
      <c r="AW61" s="64"/>
      <c r="AX61" s="64"/>
      <c r="AY61" s="8"/>
      <c r="AZ61" s="62"/>
    </row>
    <row r="62" spans="1:52" x14ac:dyDescent="0.3">
      <c r="A62" s="8"/>
      <c r="B62" s="8"/>
      <c r="C62" s="8"/>
      <c r="D62" s="8"/>
      <c r="E62" s="94"/>
      <c r="F62" s="64"/>
      <c r="G62" s="8"/>
      <c r="H62" s="65"/>
      <c r="I62" s="66"/>
      <c r="J62" s="67"/>
      <c r="K62" s="68"/>
      <c r="L62" s="69"/>
      <c r="M62" s="69"/>
      <c r="N62" s="69"/>
      <c r="O62" s="69"/>
      <c r="P62" s="69"/>
      <c r="Q62" s="69"/>
      <c r="R62" s="65"/>
      <c r="S62" s="64"/>
      <c r="T62" s="70"/>
      <c r="U62" s="71"/>
      <c r="V62" s="68"/>
      <c r="W62" s="72"/>
      <c r="X62" s="72"/>
      <c r="Y62" s="72"/>
      <c r="Z62" s="73"/>
      <c r="AA62" s="321"/>
      <c r="AB62" s="74"/>
      <c r="AC62" s="69"/>
      <c r="AD62" s="69"/>
      <c r="AE62" s="67"/>
      <c r="AF62" s="8"/>
      <c r="AG62" s="47"/>
      <c r="AH62" s="252"/>
      <c r="AI62" s="8"/>
      <c r="AJ62" s="109"/>
      <c r="AK62" s="109"/>
      <c r="AL62" s="265"/>
      <c r="AM62" s="62"/>
      <c r="AN62" s="266"/>
      <c r="AO62" s="109"/>
      <c r="AP62" s="232" t="s">
        <v>668</v>
      </c>
      <c r="AQ62" s="233" t="s">
        <v>369</v>
      </c>
      <c r="AR62" s="109"/>
      <c r="AS62" s="8"/>
      <c r="AT62" s="64"/>
      <c r="AU62" s="64"/>
      <c r="AV62" s="64"/>
      <c r="AW62" s="64"/>
      <c r="AX62" s="64"/>
      <c r="AY62" s="8"/>
      <c r="AZ62" s="62"/>
    </row>
    <row r="63" spans="1:52" x14ac:dyDescent="0.3">
      <c r="A63" s="8"/>
      <c r="B63" s="8"/>
      <c r="C63" s="93"/>
      <c r="D63" s="8"/>
      <c r="E63" s="94"/>
      <c r="F63" s="64"/>
      <c r="G63" s="8"/>
      <c r="H63" s="65"/>
      <c r="I63" s="66"/>
      <c r="J63" s="67"/>
      <c r="K63" s="68"/>
      <c r="L63" s="69"/>
      <c r="M63" s="69"/>
      <c r="N63" s="69"/>
      <c r="O63" s="69"/>
      <c r="P63" s="69"/>
      <c r="Q63" s="69"/>
      <c r="R63" s="65"/>
      <c r="S63" s="64"/>
      <c r="T63" s="70"/>
      <c r="U63" s="71"/>
      <c r="V63" s="68"/>
      <c r="W63" s="72"/>
      <c r="X63" s="72"/>
      <c r="Y63" s="72"/>
      <c r="Z63" s="73"/>
      <c r="AA63" s="321"/>
      <c r="AB63" s="74"/>
      <c r="AC63" s="69"/>
      <c r="AD63" s="69"/>
      <c r="AE63" s="67"/>
      <c r="AF63" s="8"/>
      <c r="AG63" s="47"/>
      <c r="AH63" s="252"/>
      <c r="AI63" s="8"/>
      <c r="AJ63" s="109"/>
      <c r="AK63" s="109"/>
      <c r="AL63" s="265"/>
      <c r="AM63" s="62"/>
      <c r="AN63" s="266"/>
      <c r="AO63" s="109"/>
      <c r="AP63" s="232" t="s">
        <v>667</v>
      </c>
      <c r="AQ63" s="233" t="s">
        <v>589</v>
      </c>
      <c r="AR63" s="109"/>
      <c r="AS63" s="8"/>
      <c r="AT63" s="64"/>
      <c r="AU63" s="64"/>
      <c r="AV63" s="64"/>
      <c r="AW63" s="64"/>
      <c r="AX63" s="64"/>
      <c r="AY63" s="8"/>
      <c r="AZ63" s="62"/>
    </row>
    <row r="64" spans="1:52" x14ac:dyDescent="0.3">
      <c r="A64" s="8"/>
      <c r="B64" s="8"/>
      <c r="C64" s="93"/>
      <c r="D64" s="8"/>
      <c r="E64" s="94"/>
      <c r="F64" s="64"/>
      <c r="G64" s="8"/>
      <c r="H64" s="65"/>
      <c r="I64" s="66"/>
      <c r="J64" s="67"/>
      <c r="K64" s="68"/>
      <c r="L64" s="69"/>
      <c r="M64" s="69"/>
      <c r="N64" s="69"/>
      <c r="O64" s="69"/>
      <c r="P64" s="69"/>
      <c r="Q64" s="69"/>
      <c r="R64" s="65"/>
      <c r="S64" s="64"/>
      <c r="T64" s="100"/>
      <c r="U64" s="71"/>
      <c r="V64" s="68"/>
      <c r="W64" s="72"/>
      <c r="X64" s="102"/>
      <c r="Y64" s="72"/>
      <c r="Z64" s="103"/>
      <c r="AA64" s="321"/>
      <c r="AB64" s="74"/>
      <c r="AC64" s="69"/>
      <c r="AD64" s="69"/>
      <c r="AE64" s="67"/>
      <c r="AF64" s="8"/>
      <c r="AG64" s="47"/>
      <c r="AH64" s="252"/>
      <c r="AI64" s="8"/>
      <c r="AJ64" s="109"/>
      <c r="AK64" s="109"/>
      <c r="AL64" s="265"/>
      <c r="AM64" s="62"/>
      <c r="AN64" s="266"/>
      <c r="AO64" s="109"/>
      <c r="AP64" s="232" t="s">
        <v>669</v>
      </c>
      <c r="AQ64" s="233" t="s">
        <v>370</v>
      </c>
      <c r="AR64" s="109"/>
      <c r="AS64" s="8"/>
      <c r="AT64" s="64"/>
      <c r="AU64" s="64"/>
      <c r="AV64" s="64"/>
      <c r="AW64" s="64"/>
      <c r="AX64" s="64"/>
      <c r="AY64" s="8"/>
      <c r="AZ64" s="62"/>
    </row>
    <row r="65" spans="1:52" x14ac:dyDescent="0.3">
      <c r="A65" s="8"/>
      <c r="B65" s="8"/>
      <c r="C65" s="93"/>
      <c r="D65" s="8"/>
      <c r="E65" s="94"/>
      <c r="F65" s="64"/>
      <c r="G65" s="8"/>
      <c r="H65" s="65"/>
      <c r="I65" s="66"/>
      <c r="J65" s="67"/>
      <c r="K65" s="68"/>
      <c r="L65" s="69"/>
      <c r="M65" s="69"/>
      <c r="N65" s="69"/>
      <c r="O65" s="69"/>
      <c r="P65" s="69"/>
      <c r="Q65" s="69"/>
      <c r="R65" s="65"/>
      <c r="S65" s="64"/>
      <c r="T65" s="100"/>
      <c r="U65" s="71"/>
      <c r="V65" s="68"/>
      <c r="W65" s="72"/>
      <c r="X65" s="102"/>
      <c r="Y65" s="72"/>
      <c r="Z65" s="103"/>
      <c r="AA65" s="321"/>
      <c r="AB65" s="74"/>
      <c r="AC65" s="69"/>
      <c r="AD65" s="69"/>
      <c r="AE65" s="67"/>
      <c r="AF65" s="8"/>
      <c r="AG65" s="47"/>
      <c r="AH65" s="252"/>
      <c r="AI65" s="8"/>
      <c r="AJ65" s="109"/>
      <c r="AK65" s="109"/>
      <c r="AL65" s="265"/>
      <c r="AM65" s="62"/>
      <c r="AN65" s="266"/>
      <c r="AO65" s="109"/>
      <c r="AP65" s="232" t="s">
        <v>671</v>
      </c>
      <c r="AQ65" s="233" t="s">
        <v>571</v>
      </c>
      <c r="AR65" s="109"/>
      <c r="AS65" s="8"/>
      <c r="AT65" s="64"/>
      <c r="AU65" s="64"/>
      <c r="AV65" s="64"/>
      <c r="AW65" s="64"/>
      <c r="AX65" s="64"/>
      <c r="AY65" s="8"/>
      <c r="AZ65" s="62"/>
    </row>
    <row r="66" spans="1:52" x14ac:dyDescent="0.3">
      <c r="A66" s="8"/>
      <c r="B66" s="1814"/>
      <c r="C66" s="93"/>
      <c r="D66" s="8"/>
      <c r="E66" s="94"/>
      <c r="F66" s="64"/>
      <c r="G66" s="8"/>
      <c r="H66" s="65"/>
      <c r="I66" s="66"/>
      <c r="J66" s="67"/>
      <c r="K66" s="68"/>
      <c r="L66" s="69"/>
      <c r="M66" s="69"/>
      <c r="N66" s="69"/>
      <c r="O66" s="69"/>
      <c r="P66" s="69"/>
      <c r="Q66" s="69"/>
      <c r="R66" s="65"/>
      <c r="S66" s="64"/>
      <c r="T66" s="100"/>
      <c r="U66" s="71"/>
      <c r="V66" s="68"/>
      <c r="W66" s="72"/>
      <c r="X66" s="102"/>
      <c r="Y66" s="72"/>
      <c r="Z66" s="103"/>
      <c r="AA66" s="321"/>
      <c r="AB66" s="74"/>
      <c r="AC66" s="69"/>
      <c r="AD66" s="69"/>
      <c r="AE66" s="67"/>
      <c r="AF66" s="8"/>
      <c r="AG66" s="47"/>
      <c r="AH66" s="252"/>
      <c r="AI66" s="8"/>
      <c r="AJ66" s="109"/>
      <c r="AK66" s="109"/>
      <c r="AL66" s="265"/>
      <c r="AM66" s="62"/>
      <c r="AN66" s="266"/>
      <c r="AO66" s="109"/>
      <c r="AP66" s="232" t="s">
        <v>670</v>
      </c>
      <c r="AQ66" s="233" t="s">
        <v>571</v>
      </c>
      <c r="AR66" s="109"/>
      <c r="AS66" s="8"/>
      <c r="AT66" s="64"/>
      <c r="AU66" s="64"/>
      <c r="AV66" s="64"/>
      <c r="AW66" s="64"/>
      <c r="AX66" s="64"/>
      <c r="AY66" s="8"/>
      <c r="AZ66" s="62"/>
    </row>
    <row r="67" spans="1:52" ht="13.5" thickBot="1" x14ac:dyDescent="0.35">
      <c r="A67" s="8"/>
      <c r="B67" s="1815"/>
      <c r="C67" s="93"/>
      <c r="D67" s="8"/>
      <c r="E67" s="94"/>
      <c r="F67" s="64"/>
      <c r="G67" s="8"/>
      <c r="H67" s="65"/>
      <c r="I67" s="66"/>
      <c r="J67" s="67"/>
      <c r="K67" s="68"/>
      <c r="L67" s="69"/>
      <c r="M67" s="69"/>
      <c r="N67" s="69"/>
      <c r="O67" s="69"/>
      <c r="P67" s="69"/>
      <c r="Q67" s="69"/>
      <c r="R67" s="65"/>
      <c r="S67" s="64"/>
      <c r="T67" s="100"/>
      <c r="U67" s="71"/>
      <c r="V67" s="68"/>
      <c r="W67" s="72"/>
      <c r="X67" s="102"/>
      <c r="Y67" s="72"/>
      <c r="Z67" s="103"/>
      <c r="AA67" s="321"/>
      <c r="AB67" s="74"/>
      <c r="AC67" s="69"/>
      <c r="AD67" s="69"/>
      <c r="AE67" s="67"/>
      <c r="AF67" s="8"/>
      <c r="AG67" s="47"/>
      <c r="AH67" s="252"/>
      <c r="AI67" s="8"/>
      <c r="AJ67" s="109"/>
      <c r="AK67" s="109"/>
      <c r="AL67" s="286"/>
      <c r="AM67" s="62"/>
      <c r="AN67" s="287"/>
      <c r="AO67" s="62"/>
      <c r="AP67" s="284" t="s">
        <v>672</v>
      </c>
      <c r="AQ67" s="285" t="s">
        <v>370</v>
      </c>
      <c r="AR67" s="109"/>
      <c r="AS67" s="8"/>
      <c r="AT67" s="64"/>
      <c r="AU67" s="64"/>
      <c r="AV67" s="64"/>
      <c r="AW67" s="64"/>
      <c r="AX67" s="64"/>
      <c r="AY67" s="8"/>
      <c r="AZ67" s="62"/>
    </row>
    <row r="68" spans="1:52" x14ac:dyDescent="0.35">
      <c r="A68" s="8"/>
      <c r="B68" s="1815"/>
      <c r="C68" s="93"/>
      <c r="D68" s="8"/>
      <c r="E68" s="94"/>
      <c r="F68" s="64"/>
      <c r="G68" s="8"/>
      <c r="H68" s="65"/>
      <c r="I68" s="66"/>
      <c r="J68" s="67"/>
      <c r="K68" s="68"/>
      <c r="L68" s="69"/>
      <c r="M68" s="69"/>
      <c r="N68" s="69"/>
      <c r="O68" s="69"/>
      <c r="P68" s="69"/>
      <c r="Q68" s="69"/>
      <c r="R68" s="65"/>
      <c r="S68" s="64"/>
      <c r="T68" s="100"/>
      <c r="U68" s="71"/>
      <c r="V68" s="68"/>
      <c r="W68" s="72"/>
      <c r="X68" s="102"/>
      <c r="Y68" s="72"/>
      <c r="Z68" s="103"/>
      <c r="AA68" s="321"/>
      <c r="AB68" s="74"/>
      <c r="AC68" s="69"/>
      <c r="AD68" s="69"/>
      <c r="AE68" s="67"/>
      <c r="AF68" s="8"/>
      <c r="AG68" s="275"/>
      <c r="AH68" s="288"/>
      <c r="AI68" s="8"/>
      <c r="AJ68" s="109"/>
      <c r="AK68" s="109"/>
      <c r="AL68" s="286"/>
      <c r="AM68" s="62"/>
      <c r="AN68" s="287"/>
      <c r="AO68" s="62"/>
      <c r="AP68" s="62"/>
      <c r="AQ68" s="62"/>
      <c r="AR68" s="109"/>
      <c r="AS68" s="8"/>
      <c r="AT68" s="64"/>
      <c r="AU68" s="64"/>
      <c r="AV68" s="64"/>
      <c r="AW68" s="64"/>
      <c r="AX68" s="64"/>
      <c r="AY68" s="8"/>
      <c r="AZ68" s="62"/>
    </row>
    <row r="69" spans="1:52" x14ac:dyDescent="0.35">
      <c r="A69" s="8"/>
      <c r="B69" s="1815"/>
      <c r="C69" s="93"/>
      <c r="D69" s="8"/>
      <c r="E69" s="94"/>
      <c r="F69" s="64"/>
      <c r="G69" s="8"/>
      <c r="H69" s="65"/>
      <c r="I69" s="66"/>
      <c r="J69" s="67"/>
      <c r="K69" s="68"/>
      <c r="L69" s="69"/>
      <c r="M69" s="69"/>
      <c r="N69" s="69"/>
      <c r="O69" s="69"/>
      <c r="P69" s="69"/>
      <c r="Q69" s="69"/>
      <c r="R69" s="65"/>
      <c r="S69" s="64"/>
      <c r="T69" s="100"/>
      <c r="U69" s="71"/>
      <c r="V69" s="68"/>
      <c r="W69" s="72"/>
      <c r="X69" s="102"/>
      <c r="Y69" s="72"/>
      <c r="Z69" s="103"/>
      <c r="AA69" s="321"/>
      <c r="AB69" s="74"/>
      <c r="AC69" s="69"/>
      <c r="AD69" s="69"/>
      <c r="AE69" s="67"/>
      <c r="AF69" s="8"/>
      <c r="AG69" s="8"/>
      <c r="AH69" s="64"/>
      <c r="AI69" s="8"/>
      <c r="AJ69" s="109"/>
      <c r="AK69" s="109"/>
      <c r="AL69" s="286"/>
      <c r="AM69" s="62"/>
      <c r="AN69" s="287"/>
      <c r="AO69" s="62"/>
      <c r="AP69" s="62"/>
      <c r="AQ69" s="62"/>
      <c r="AR69" s="109"/>
      <c r="AS69" s="8"/>
      <c r="AT69" s="64"/>
      <c r="AU69" s="64"/>
      <c r="AV69" s="64"/>
      <c r="AW69" s="64"/>
      <c r="AX69" s="64"/>
      <c r="AY69" s="8"/>
      <c r="AZ69" s="62"/>
    </row>
    <row r="70" spans="1:52" x14ac:dyDescent="0.35">
      <c r="A70" s="8"/>
      <c r="B70" s="1815"/>
      <c r="C70" s="93"/>
      <c r="D70" s="8"/>
      <c r="E70" s="94"/>
      <c r="F70" s="64"/>
      <c r="G70" s="8"/>
      <c r="H70" s="65"/>
      <c r="I70" s="66"/>
      <c r="J70" s="67"/>
      <c r="K70" s="68"/>
      <c r="L70" s="69"/>
      <c r="M70" s="69"/>
      <c r="N70" s="69"/>
      <c r="O70" s="69"/>
      <c r="P70" s="69"/>
      <c r="Q70" s="69"/>
      <c r="R70" s="65"/>
      <c r="S70" s="64"/>
      <c r="T70" s="100"/>
      <c r="U70" s="71"/>
      <c r="V70" s="68"/>
      <c r="W70" s="72"/>
      <c r="X70" s="102"/>
      <c r="Y70" s="72"/>
      <c r="Z70" s="103"/>
      <c r="AA70" s="321"/>
      <c r="AB70" s="74"/>
      <c r="AC70" s="69"/>
      <c r="AD70" s="69"/>
      <c r="AE70" s="67"/>
      <c r="AF70" s="8"/>
      <c r="AG70" s="8"/>
      <c r="AH70" s="64"/>
      <c r="AI70" s="8"/>
      <c r="AJ70" s="109"/>
      <c r="AK70" s="109"/>
      <c r="AL70" s="286"/>
      <c r="AM70" s="62"/>
      <c r="AN70" s="287"/>
      <c r="AO70" s="62"/>
      <c r="AP70" s="62"/>
      <c r="AQ70" s="62"/>
      <c r="AR70" s="109"/>
      <c r="AS70" s="8"/>
      <c r="AT70" s="64"/>
      <c r="AU70" s="64"/>
      <c r="AV70" s="64"/>
      <c r="AW70" s="64"/>
      <c r="AX70" s="64"/>
      <c r="AY70" s="8"/>
      <c r="AZ70" s="62"/>
    </row>
    <row r="71" spans="1:52" x14ac:dyDescent="0.35">
      <c r="A71" s="8"/>
      <c r="B71" s="1815"/>
      <c r="C71" s="93"/>
      <c r="D71" s="8"/>
      <c r="E71" s="94"/>
      <c r="F71" s="64"/>
      <c r="G71" s="8"/>
      <c r="H71" s="65"/>
      <c r="I71" s="66"/>
      <c r="J71" s="67"/>
      <c r="K71" s="68"/>
      <c r="L71" s="69"/>
      <c r="M71" s="69"/>
      <c r="N71" s="69"/>
      <c r="O71" s="69"/>
      <c r="P71" s="69"/>
      <c r="Q71" s="69"/>
      <c r="R71" s="65"/>
      <c r="S71" s="64"/>
      <c r="T71" s="100"/>
      <c r="U71" s="71"/>
      <c r="V71" s="68"/>
      <c r="W71" s="72"/>
      <c r="X71" s="102"/>
      <c r="Y71" s="72"/>
      <c r="Z71" s="103"/>
      <c r="AA71" s="321"/>
      <c r="AB71" s="74"/>
      <c r="AC71" s="69"/>
      <c r="AD71" s="69"/>
      <c r="AE71" s="67"/>
      <c r="AF71" s="8"/>
      <c r="AG71" s="8"/>
      <c r="AH71" s="64"/>
      <c r="AI71" s="8"/>
      <c r="AJ71" s="109"/>
      <c r="AK71" s="109"/>
      <c r="AL71" s="286"/>
      <c r="AM71" s="62"/>
      <c r="AN71" s="287"/>
      <c r="AO71" s="62"/>
      <c r="AP71" s="62"/>
      <c r="AQ71" s="62"/>
      <c r="AR71" s="109"/>
      <c r="AS71" s="8"/>
      <c r="AT71" s="64"/>
      <c r="AU71" s="64"/>
      <c r="AV71" s="64"/>
      <c r="AW71" s="64"/>
      <c r="AX71" s="64"/>
      <c r="AY71" s="8"/>
      <c r="AZ71" s="62"/>
    </row>
    <row r="72" spans="1:52" x14ac:dyDescent="0.35">
      <c r="A72" s="8"/>
      <c r="B72" s="1815"/>
      <c r="C72" s="93"/>
      <c r="D72" s="8"/>
      <c r="E72" s="94"/>
      <c r="F72" s="64"/>
      <c r="G72" s="8"/>
      <c r="H72" s="65"/>
      <c r="I72" s="66"/>
      <c r="J72" s="67"/>
      <c r="K72" s="68"/>
      <c r="L72" s="69"/>
      <c r="M72" s="69"/>
      <c r="N72" s="69"/>
      <c r="O72" s="69"/>
      <c r="P72" s="69"/>
      <c r="Q72" s="69"/>
      <c r="R72" s="65"/>
      <c r="S72" s="64"/>
      <c r="T72" s="100"/>
      <c r="U72" s="71"/>
      <c r="V72" s="68"/>
      <c r="W72" s="72"/>
      <c r="X72" s="102"/>
      <c r="Y72" s="72"/>
      <c r="Z72" s="103"/>
      <c r="AA72" s="321"/>
      <c r="AB72" s="74"/>
      <c r="AC72" s="69"/>
      <c r="AD72" s="69"/>
      <c r="AE72" s="67"/>
      <c r="AF72" s="8"/>
      <c r="AG72" s="8"/>
      <c r="AH72" s="64"/>
      <c r="AI72" s="8"/>
      <c r="AJ72" s="109"/>
      <c r="AK72" s="109"/>
      <c r="AL72" s="286"/>
      <c r="AM72" s="62"/>
      <c r="AN72" s="287"/>
      <c r="AO72" s="62"/>
      <c r="AP72" s="62"/>
      <c r="AQ72" s="62"/>
      <c r="AR72" s="109"/>
      <c r="AS72" s="8"/>
      <c r="AT72" s="64"/>
      <c r="AU72" s="64"/>
      <c r="AV72" s="64"/>
      <c r="AW72" s="64"/>
      <c r="AX72" s="64"/>
      <c r="AY72" s="8"/>
      <c r="AZ72" s="62"/>
    </row>
    <row r="73" spans="1:52" x14ac:dyDescent="0.35">
      <c r="A73" s="8"/>
      <c r="B73" s="1815"/>
      <c r="C73" s="93"/>
      <c r="D73" s="8"/>
      <c r="E73" s="94"/>
      <c r="F73" s="64"/>
      <c r="G73" s="8"/>
      <c r="H73" s="65"/>
      <c r="I73" s="66"/>
      <c r="J73" s="67"/>
      <c r="K73" s="68"/>
      <c r="L73" s="69"/>
      <c r="M73" s="69"/>
      <c r="N73" s="69"/>
      <c r="O73" s="69"/>
      <c r="P73" s="69"/>
      <c r="Q73" s="69"/>
      <c r="R73" s="65"/>
      <c r="S73" s="64"/>
      <c r="T73" s="100"/>
      <c r="U73" s="71"/>
      <c r="V73" s="68"/>
      <c r="W73" s="72"/>
      <c r="X73" s="102"/>
      <c r="Y73" s="72"/>
      <c r="Z73" s="103"/>
      <c r="AA73" s="321"/>
      <c r="AB73" s="74"/>
      <c r="AC73" s="69"/>
      <c r="AD73" s="69"/>
      <c r="AE73" s="67"/>
      <c r="AF73" s="8"/>
      <c r="AG73" s="8"/>
      <c r="AH73" s="64"/>
      <c r="AI73" s="8"/>
      <c r="AJ73" s="109"/>
      <c r="AK73" s="109"/>
      <c r="AL73" s="286"/>
      <c r="AM73" s="62"/>
      <c r="AN73" s="287"/>
      <c r="AO73" s="62"/>
      <c r="AP73" s="62"/>
      <c r="AQ73" s="62"/>
      <c r="AR73" s="109"/>
      <c r="AS73" s="8"/>
      <c r="AT73" s="64"/>
      <c r="AU73" s="64"/>
      <c r="AV73" s="64"/>
      <c r="AW73" s="64"/>
      <c r="AX73" s="64"/>
      <c r="AY73" s="8"/>
      <c r="AZ73" s="62"/>
    </row>
    <row r="74" spans="1:52" x14ac:dyDescent="0.35">
      <c r="A74" s="8"/>
      <c r="B74" s="1815"/>
      <c r="C74" s="93"/>
      <c r="D74" s="8"/>
      <c r="E74" s="94"/>
      <c r="F74" s="64"/>
      <c r="G74" s="8"/>
      <c r="H74" s="65"/>
      <c r="I74" s="66"/>
      <c r="J74" s="67"/>
      <c r="K74" s="68"/>
      <c r="L74" s="69"/>
      <c r="M74" s="69"/>
      <c r="N74" s="69"/>
      <c r="O74" s="69"/>
      <c r="P74" s="69"/>
      <c r="Q74" s="69"/>
      <c r="R74" s="65"/>
      <c r="S74" s="64"/>
      <c r="T74" s="100"/>
      <c r="U74" s="71"/>
      <c r="V74" s="68"/>
      <c r="W74" s="72"/>
      <c r="X74" s="102"/>
      <c r="Y74" s="72"/>
      <c r="Z74" s="103"/>
      <c r="AA74" s="321"/>
      <c r="AB74" s="74"/>
      <c r="AC74" s="69"/>
      <c r="AD74" s="69"/>
      <c r="AE74" s="67"/>
      <c r="AF74" s="8"/>
      <c r="AG74" s="8"/>
      <c r="AH74" s="64"/>
      <c r="AI74" s="8"/>
      <c r="AJ74" s="109"/>
      <c r="AK74" s="109"/>
      <c r="AL74" s="286"/>
      <c r="AM74" s="62"/>
      <c r="AN74" s="287"/>
      <c r="AO74" s="62"/>
      <c r="AP74" s="62"/>
      <c r="AQ74" s="62"/>
      <c r="AR74" s="109"/>
      <c r="AS74" s="8"/>
      <c r="AT74" s="64"/>
      <c r="AU74" s="64"/>
      <c r="AV74" s="64"/>
      <c r="AW74" s="64"/>
      <c r="AX74" s="64"/>
      <c r="AY74" s="8"/>
      <c r="AZ74" s="62"/>
    </row>
    <row r="75" spans="1:52" x14ac:dyDescent="0.35">
      <c r="A75" s="8"/>
      <c r="B75" s="1815"/>
      <c r="C75" s="93"/>
      <c r="D75" s="8"/>
      <c r="E75" s="94"/>
      <c r="F75" s="64"/>
      <c r="G75" s="8"/>
      <c r="H75" s="65"/>
      <c r="I75" s="66"/>
      <c r="J75" s="67"/>
      <c r="K75" s="68"/>
      <c r="L75" s="69"/>
      <c r="M75" s="69"/>
      <c r="N75" s="69"/>
      <c r="O75" s="69"/>
      <c r="P75" s="69"/>
      <c r="Q75" s="69"/>
      <c r="R75" s="65"/>
      <c r="S75" s="64"/>
      <c r="T75" s="100"/>
      <c r="U75" s="71"/>
      <c r="V75" s="68"/>
      <c r="W75" s="72"/>
      <c r="X75" s="102"/>
      <c r="Y75" s="72"/>
      <c r="Z75" s="103"/>
      <c r="AA75" s="321"/>
      <c r="AB75" s="74"/>
      <c r="AC75" s="69"/>
      <c r="AD75" s="69"/>
      <c r="AE75" s="67"/>
      <c r="AF75" s="93"/>
      <c r="AG75" s="8"/>
      <c r="AH75" s="64"/>
      <c r="AI75" s="8"/>
      <c r="AJ75" s="109"/>
      <c r="AK75" s="109"/>
      <c r="AL75" s="286"/>
      <c r="AM75" s="62"/>
      <c r="AN75" s="287"/>
      <c r="AO75" s="62"/>
      <c r="AP75" s="62"/>
      <c r="AQ75" s="62"/>
      <c r="AR75" s="109"/>
      <c r="AS75" s="8"/>
      <c r="AT75" s="64"/>
      <c r="AU75" s="64"/>
      <c r="AV75" s="64"/>
      <c r="AW75" s="64"/>
      <c r="AX75" s="64"/>
      <c r="AY75" s="8"/>
      <c r="AZ75" s="62"/>
    </row>
    <row r="76" spans="1:52" x14ac:dyDescent="0.35">
      <c r="A76" s="8"/>
      <c r="B76" s="1815"/>
      <c r="C76" s="93"/>
      <c r="D76" s="8"/>
      <c r="E76" s="94"/>
      <c r="F76" s="64"/>
      <c r="G76" s="8"/>
      <c r="H76" s="65"/>
      <c r="I76" s="66"/>
      <c r="J76" s="67"/>
      <c r="K76" s="68"/>
      <c r="L76" s="69"/>
      <c r="M76" s="69"/>
      <c r="N76" s="69"/>
      <c r="O76" s="69"/>
      <c r="P76" s="69"/>
      <c r="Q76" s="69"/>
      <c r="R76" s="65"/>
      <c r="S76" s="64"/>
      <c r="T76" s="100"/>
      <c r="U76" s="71"/>
      <c r="V76" s="68"/>
      <c r="W76" s="72"/>
      <c r="X76" s="102"/>
      <c r="Y76" s="72"/>
      <c r="Z76" s="103"/>
      <c r="AA76" s="321"/>
      <c r="AB76" s="74"/>
      <c r="AC76" s="69"/>
      <c r="AD76" s="69"/>
      <c r="AE76" s="67"/>
      <c r="AF76" s="93"/>
      <c r="AG76" s="8"/>
      <c r="AH76" s="64"/>
      <c r="AI76" s="8"/>
      <c r="AJ76" s="109"/>
      <c r="AK76" s="109"/>
      <c r="AL76" s="286"/>
      <c r="AM76" s="62"/>
      <c r="AN76" s="287"/>
      <c r="AO76" s="62"/>
      <c r="AP76" s="62"/>
      <c r="AQ76" s="62"/>
      <c r="AR76" s="109"/>
      <c r="AS76" s="8"/>
      <c r="AT76" s="64"/>
      <c r="AU76" s="64"/>
      <c r="AV76" s="64"/>
      <c r="AW76" s="64"/>
      <c r="AX76" s="64"/>
      <c r="AY76" s="8"/>
      <c r="AZ76" s="62"/>
    </row>
    <row r="77" spans="1:52" x14ac:dyDescent="0.35">
      <c r="A77" s="8"/>
      <c r="B77" s="1815"/>
      <c r="C77" s="93"/>
      <c r="D77" s="8"/>
      <c r="E77" s="94"/>
      <c r="F77" s="64"/>
      <c r="G77" s="8"/>
      <c r="H77" s="65"/>
      <c r="I77" s="66"/>
      <c r="J77" s="67"/>
      <c r="K77" s="68"/>
      <c r="L77" s="69"/>
      <c r="M77" s="69"/>
      <c r="N77" s="69"/>
      <c r="O77" s="69"/>
      <c r="P77" s="69"/>
      <c r="Q77" s="69"/>
      <c r="R77" s="65"/>
      <c r="S77" s="64"/>
      <c r="T77" s="100"/>
      <c r="U77" s="71"/>
      <c r="V77" s="68"/>
      <c r="W77" s="72"/>
      <c r="X77" s="102"/>
      <c r="Y77" s="72"/>
      <c r="Z77" s="103"/>
      <c r="AA77" s="321"/>
      <c r="AB77" s="74"/>
      <c r="AC77" s="69"/>
      <c r="AD77" s="69"/>
      <c r="AE77" s="67"/>
      <c r="AF77" s="93"/>
      <c r="AG77" s="8"/>
      <c r="AH77" s="64"/>
      <c r="AI77" s="8"/>
      <c r="AJ77" s="109"/>
      <c r="AK77" s="109"/>
      <c r="AL77" s="286"/>
      <c r="AM77" s="62"/>
      <c r="AN77" s="287"/>
      <c r="AO77" s="62"/>
      <c r="AP77" s="62"/>
      <c r="AQ77" s="62"/>
      <c r="AR77" s="109"/>
      <c r="AS77" s="8"/>
      <c r="AT77" s="64"/>
      <c r="AU77" s="64"/>
      <c r="AV77" s="64"/>
      <c r="AW77" s="64"/>
      <c r="AX77" s="64"/>
      <c r="AY77" s="8"/>
      <c r="AZ77" s="62"/>
    </row>
    <row r="78" spans="1:52" x14ac:dyDescent="0.35">
      <c r="A78" s="8"/>
      <c r="B78" s="1815"/>
      <c r="C78" s="93"/>
      <c r="D78" s="8"/>
      <c r="E78" s="94"/>
      <c r="F78" s="64"/>
      <c r="G78" s="8"/>
      <c r="H78" s="65"/>
      <c r="I78" s="66"/>
      <c r="J78" s="67"/>
      <c r="K78" s="68"/>
      <c r="L78" s="69"/>
      <c r="M78" s="69"/>
      <c r="N78" s="69"/>
      <c r="O78" s="69"/>
      <c r="P78" s="69"/>
      <c r="Q78" s="69"/>
      <c r="R78" s="65"/>
      <c r="S78" s="64"/>
      <c r="T78" s="100"/>
      <c r="U78" s="71"/>
      <c r="V78" s="68"/>
      <c r="W78" s="72"/>
      <c r="X78" s="102"/>
      <c r="Y78" s="72"/>
      <c r="Z78" s="103"/>
      <c r="AA78" s="321"/>
      <c r="AB78" s="74"/>
      <c r="AC78" s="69"/>
      <c r="AD78" s="69"/>
      <c r="AE78" s="67"/>
      <c r="AF78" s="93"/>
      <c r="AG78" s="8"/>
      <c r="AH78" s="64"/>
      <c r="AI78" s="8"/>
      <c r="AJ78" s="109"/>
      <c r="AK78" s="109"/>
      <c r="AL78" s="286"/>
      <c r="AM78" s="62"/>
      <c r="AN78" s="287"/>
      <c r="AO78" s="62"/>
      <c r="AP78" s="62"/>
      <c r="AQ78" s="62"/>
      <c r="AR78" s="109"/>
      <c r="AS78" s="8"/>
      <c r="AT78" s="64"/>
      <c r="AU78" s="64"/>
      <c r="AV78" s="64"/>
      <c r="AW78" s="64"/>
      <c r="AX78" s="64"/>
      <c r="AY78" s="8"/>
      <c r="AZ78" s="62"/>
    </row>
    <row r="79" spans="1:52" x14ac:dyDescent="0.35">
      <c r="A79" s="8"/>
      <c r="B79" s="1815"/>
      <c r="C79" s="93"/>
      <c r="D79" s="8"/>
      <c r="E79" s="94"/>
      <c r="F79" s="64"/>
      <c r="G79" s="8"/>
      <c r="H79" s="65"/>
      <c r="I79" s="66"/>
      <c r="J79" s="67"/>
      <c r="K79" s="68"/>
      <c r="L79" s="69"/>
      <c r="M79" s="69"/>
      <c r="N79" s="69"/>
      <c r="O79" s="69"/>
      <c r="P79" s="69"/>
      <c r="Q79" s="69"/>
      <c r="R79" s="65"/>
      <c r="S79" s="64"/>
      <c r="T79" s="100"/>
      <c r="U79" s="71"/>
      <c r="V79" s="68"/>
      <c r="W79" s="72"/>
      <c r="X79" s="102"/>
      <c r="Y79" s="72"/>
      <c r="Z79" s="103"/>
      <c r="AA79" s="321"/>
      <c r="AB79" s="74"/>
      <c r="AC79" s="69"/>
      <c r="AD79" s="69"/>
      <c r="AE79" s="67"/>
      <c r="AF79" s="93"/>
      <c r="AG79" s="8"/>
      <c r="AH79" s="64"/>
      <c r="AI79" s="8"/>
      <c r="AJ79" s="109"/>
      <c r="AK79" s="109"/>
      <c r="AL79" s="286"/>
      <c r="AM79" s="62"/>
      <c r="AN79" s="287"/>
      <c r="AO79" s="62"/>
      <c r="AP79" s="62"/>
      <c r="AQ79" s="62"/>
      <c r="AR79" s="109"/>
      <c r="AS79" s="8"/>
      <c r="AT79" s="64"/>
      <c r="AU79" s="64"/>
      <c r="AV79" s="64"/>
      <c r="AW79" s="64"/>
      <c r="AX79" s="64"/>
      <c r="AY79" s="8"/>
      <c r="AZ79" s="62"/>
    </row>
    <row r="80" spans="1:52" x14ac:dyDescent="0.35">
      <c r="A80" s="8"/>
      <c r="B80" s="1815"/>
      <c r="C80" s="93"/>
      <c r="D80" s="8"/>
      <c r="E80" s="94"/>
      <c r="F80" s="64"/>
      <c r="G80" s="8"/>
      <c r="H80" s="65"/>
      <c r="I80" s="66"/>
      <c r="J80" s="67"/>
      <c r="K80" s="68"/>
      <c r="L80" s="69"/>
      <c r="M80" s="69"/>
      <c r="N80" s="69"/>
      <c r="O80" s="69"/>
      <c r="P80" s="69"/>
      <c r="Q80" s="69"/>
      <c r="R80" s="65"/>
      <c r="S80" s="64"/>
      <c r="T80" s="100"/>
      <c r="U80" s="71"/>
      <c r="V80" s="68"/>
      <c r="W80" s="72"/>
      <c r="X80" s="102"/>
      <c r="Y80" s="72"/>
      <c r="Z80" s="103"/>
      <c r="AA80" s="321"/>
      <c r="AB80" s="74"/>
      <c r="AC80" s="69"/>
      <c r="AD80" s="69"/>
      <c r="AE80" s="67"/>
      <c r="AF80" s="93"/>
      <c r="AG80" s="8"/>
      <c r="AH80" s="64"/>
      <c r="AI80" s="8"/>
      <c r="AJ80" s="109"/>
      <c r="AK80" s="109"/>
      <c r="AL80" s="286"/>
      <c r="AM80" s="62"/>
      <c r="AN80" s="287"/>
      <c r="AO80" s="62"/>
      <c r="AP80" s="62"/>
      <c r="AQ80" s="62"/>
      <c r="AR80" s="109"/>
      <c r="AS80" s="8"/>
      <c r="AT80" s="64"/>
      <c r="AU80" s="64"/>
      <c r="AV80" s="64"/>
      <c r="AW80" s="64"/>
      <c r="AX80" s="64"/>
      <c r="AY80" s="8"/>
      <c r="AZ80" s="62"/>
    </row>
    <row r="81" spans="1:52" x14ac:dyDescent="0.35">
      <c r="A81" s="8"/>
      <c r="B81" s="1815"/>
      <c r="C81" s="93"/>
      <c r="D81" s="8"/>
      <c r="E81" s="94"/>
      <c r="F81" s="64"/>
      <c r="G81" s="8"/>
      <c r="H81" s="65"/>
      <c r="I81" s="66"/>
      <c r="J81" s="67"/>
      <c r="K81" s="68"/>
      <c r="L81" s="69"/>
      <c r="M81" s="69"/>
      <c r="N81" s="69"/>
      <c r="O81" s="69"/>
      <c r="P81" s="69"/>
      <c r="Q81" s="69"/>
      <c r="R81" s="65"/>
      <c r="S81" s="64"/>
      <c r="T81" s="100"/>
      <c r="U81" s="71"/>
      <c r="V81" s="68"/>
      <c r="W81" s="72"/>
      <c r="X81" s="102"/>
      <c r="Y81" s="72"/>
      <c r="Z81" s="103"/>
      <c r="AA81" s="321"/>
      <c r="AB81" s="74"/>
      <c r="AC81" s="69"/>
      <c r="AD81" s="69"/>
      <c r="AE81" s="67"/>
      <c r="AF81" s="93"/>
      <c r="AG81" s="8"/>
      <c r="AH81" s="64"/>
      <c r="AI81" s="8"/>
      <c r="AJ81" s="109"/>
      <c r="AK81" s="109"/>
      <c r="AL81" s="286"/>
      <c r="AM81" s="62"/>
      <c r="AN81" s="287"/>
      <c r="AO81" s="62"/>
      <c r="AP81" s="62"/>
      <c r="AQ81" s="62"/>
      <c r="AR81" s="109"/>
      <c r="AS81" s="8"/>
      <c r="AT81" s="64"/>
      <c r="AU81" s="64"/>
      <c r="AV81" s="64"/>
      <c r="AW81" s="64"/>
      <c r="AX81" s="64"/>
      <c r="AY81" s="8"/>
      <c r="AZ81" s="62"/>
    </row>
    <row r="82" spans="1:52" x14ac:dyDescent="0.35">
      <c r="A82" s="8"/>
      <c r="B82" s="1815"/>
      <c r="C82" s="93"/>
      <c r="D82" s="8"/>
      <c r="E82" s="94"/>
      <c r="F82" s="64"/>
      <c r="G82" s="8"/>
      <c r="H82" s="65"/>
      <c r="I82" s="66"/>
      <c r="J82" s="67"/>
      <c r="K82" s="68"/>
      <c r="L82" s="69"/>
      <c r="M82" s="69"/>
      <c r="N82" s="69"/>
      <c r="O82" s="69"/>
      <c r="P82" s="69"/>
      <c r="Q82" s="69"/>
      <c r="R82" s="65"/>
      <c r="S82" s="64"/>
      <c r="T82" s="100"/>
      <c r="U82" s="71"/>
      <c r="V82" s="68"/>
      <c r="W82" s="72"/>
      <c r="X82" s="102"/>
      <c r="Y82" s="72"/>
      <c r="Z82" s="103"/>
      <c r="AA82" s="321"/>
      <c r="AB82" s="74"/>
      <c r="AC82" s="69"/>
      <c r="AD82" s="69"/>
      <c r="AE82" s="67"/>
      <c r="AF82" s="93"/>
      <c r="AG82" s="8"/>
      <c r="AH82" s="64"/>
      <c r="AI82" s="8"/>
      <c r="AJ82" s="109"/>
      <c r="AK82" s="109"/>
      <c r="AL82" s="286"/>
      <c r="AM82" s="62"/>
      <c r="AN82" s="287"/>
      <c r="AO82" s="62"/>
      <c r="AP82" s="62"/>
      <c r="AQ82" s="62"/>
      <c r="AR82" s="109"/>
      <c r="AS82" s="8"/>
      <c r="AT82" s="64"/>
      <c r="AU82" s="64"/>
      <c r="AV82" s="64"/>
      <c r="AW82" s="64"/>
      <c r="AX82" s="64"/>
      <c r="AY82" s="8"/>
      <c r="AZ82" s="62"/>
    </row>
    <row r="83" spans="1:52" x14ac:dyDescent="0.35">
      <c r="A83" s="8"/>
      <c r="B83" s="1815"/>
      <c r="C83" s="93"/>
      <c r="D83" s="8"/>
      <c r="E83" s="94"/>
      <c r="F83" s="64"/>
      <c r="G83" s="8"/>
      <c r="H83" s="65"/>
      <c r="I83" s="66"/>
      <c r="J83" s="67"/>
      <c r="K83" s="68"/>
      <c r="L83" s="69"/>
      <c r="M83" s="69"/>
      <c r="N83" s="69"/>
      <c r="O83" s="69"/>
      <c r="P83" s="69"/>
      <c r="Q83" s="69"/>
      <c r="R83" s="65"/>
      <c r="S83" s="64"/>
      <c r="T83" s="100"/>
      <c r="U83" s="71"/>
      <c r="V83" s="68"/>
      <c r="W83" s="72"/>
      <c r="X83" s="102"/>
      <c r="Y83" s="72"/>
      <c r="Z83" s="103"/>
      <c r="AA83" s="321"/>
      <c r="AB83" s="74"/>
      <c r="AC83" s="69"/>
      <c r="AD83" s="69"/>
      <c r="AE83" s="67"/>
      <c r="AF83" s="93"/>
      <c r="AG83" s="8"/>
      <c r="AH83" s="64"/>
      <c r="AI83" s="8"/>
      <c r="AJ83" s="109"/>
      <c r="AK83" s="109"/>
      <c r="AL83" s="286"/>
      <c r="AM83" s="62"/>
      <c r="AN83" s="287"/>
      <c r="AO83" s="62"/>
      <c r="AP83" s="62"/>
      <c r="AQ83" s="62"/>
      <c r="AR83" s="109"/>
      <c r="AS83" s="8"/>
      <c r="AT83" s="64"/>
      <c r="AU83" s="64"/>
      <c r="AV83" s="64"/>
      <c r="AW83" s="64"/>
      <c r="AX83" s="64"/>
      <c r="AY83" s="8"/>
      <c r="AZ83" s="62"/>
    </row>
    <row r="84" spans="1:52" x14ac:dyDescent="0.35">
      <c r="A84" s="8"/>
      <c r="B84" s="1815"/>
      <c r="C84" s="93"/>
      <c r="D84" s="8"/>
      <c r="E84" s="94"/>
      <c r="F84" s="64"/>
      <c r="G84" s="8"/>
      <c r="H84" s="65"/>
      <c r="I84" s="66"/>
      <c r="J84" s="67"/>
      <c r="K84" s="68"/>
      <c r="L84" s="69"/>
      <c r="M84" s="69"/>
      <c r="N84" s="69"/>
      <c r="O84" s="69"/>
      <c r="P84" s="69"/>
      <c r="Q84" s="69"/>
      <c r="R84" s="65"/>
      <c r="S84" s="64"/>
      <c r="T84" s="100"/>
      <c r="U84" s="71"/>
      <c r="V84" s="68"/>
      <c r="W84" s="72"/>
      <c r="X84" s="102"/>
      <c r="Y84" s="72"/>
      <c r="Z84" s="103"/>
      <c r="AA84" s="321"/>
      <c r="AB84" s="74"/>
      <c r="AC84" s="69"/>
      <c r="AD84" s="69"/>
      <c r="AE84" s="67"/>
      <c r="AF84" s="93"/>
      <c r="AG84" s="8"/>
      <c r="AH84" s="64"/>
      <c r="AI84" s="8"/>
      <c r="AJ84" s="109"/>
      <c r="AK84" s="109"/>
      <c r="AL84" s="286"/>
      <c r="AM84" s="62"/>
      <c r="AN84" s="287"/>
      <c r="AO84" s="62"/>
      <c r="AP84" s="62"/>
      <c r="AQ84" s="62"/>
      <c r="AR84" s="109"/>
      <c r="AS84" s="8"/>
      <c r="AT84" s="64"/>
      <c r="AU84" s="64"/>
      <c r="AV84" s="64"/>
      <c r="AW84" s="64"/>
      <c r="AX84" s="64"/>
      <c r="AY84" s="8"/>
      <c r="AZ84" s="62"/>
    </row>
    <row r="85" spans="1:52" x14ac:dyDescent="0.35">
      <c r="A85" s="8"/>
      <c r="B85" s="1815"/>
      <c r="C85" s="93"/>
      <c r="D85" s="8"/>
      <c r="E85" s="94"/>
      <c r="F85" s="64"/>
      <c r="G85" s="8"/>
      <c r="H85" s="65"/>
      <c r="I85" s="66"/>
      <c r="J85" s="67"/>
      <c r="K85" s="68"/>
      <c r="L85" s="69"/>
      <c r="M85" s="69"/>
      <c r="N85" s="69"/>
      <c r="O85" s="69"/>
      <c r="P85" s="69"/>
      <c r="Q85" s="69"/>
      <c r="R85" s="65"/>
      <c r="S85" s="64"/>
      <c r="T85" s="100"/>
      <c r="U85" s="71"/>
      <c r="V85" s="68"/>
      <c r="W85" s="72"/>
      <c r="X85" s="102"/>
      <c r="Y85" s="72"/>
      <c r="Z85" s="103"/>
      <c r="AA85" s="321"/>
      <c r="AB85" s="74"/>
      <c r="AC85" s="69"/>
      <c r="AD85" s="69"/>
      <c r="AE85" s="67"/>
      <c r="AF85" s="93"/>
      <c r="AG85" s="8"/>
      <c r="AH85" s="64"/>
      <c r="AI85" s="289"/>
      <c r="AJ85" s="109"/>
      <c r="AK85" s="109"/>
      <c r="AL85" s="286"/>
      <c r="AM85" s="62"/>
      <c r="AN85" s="287"/>
      <c r="AO85" s="62"/>
      <c r="AP85" s="62"/>
      <c r="AQ85" s="62"/>
      <c r="AR85" s="109"/>
      <c r="AS85" s="8"/>
      <c r="AT85" s="64"/>
      <c r="AU85" s="64"/>
      <c r="AV85" s="64"/>
      <c r="AW85" s="64"/>
      <c r="AX85" s="64"/>
      <c r="AY85" s="8"/>
      <c r="AZ85" s="62"/>
    </row>
    <row r="86" spans="1:52" x14ac:dyDescent="0.35">
      <c r="A86" s="8"/>
      <c r="B86" s="1815"/>
      <c r="C86" s="93"/>
      <c r="D86" s="8"/>
      <c r="E86" s="94"/>
      <c r="F86" s="64"/>
      <c r="G86" s="8"/>
      <c r="H86" s="65"/>
      <c r="I86" s="66"/>
      <c r="J86" s="67"/>
      <c r="K86" s="68"/>
      <c r="L86" s="69"/>
      <c r="M86" s="69"/>
      <c r="N86" s="69"/>
      <c r="O86" s="69"/>
      <c r="P86" s="69"/>
      <c r="Q86" s="69"/>
      <c r="R86" s="65"/>
      <c r="S86" s="64"/>
      <c r="T86" s="100"/>
      <c r="U86" s="71"/>
      <c r="V86" s="68"/>
      <c r="W86" s="72"/>
      <c r="X86" s="102"/>
      <c r="Y86" s="72"/>
      <c r="Z86" s="103"/>
      <c r="AA86" s="321"/>
      <c r="AB86" s="74"/>
      <c r="AC86" s="69"/>
      <c r="AD86" s="69"/>
      <c r="AE86" s="67"/>
      <c r="AF86" s="93"/>
      <c r="AG86" s="8"/>
      <c r="AH86" s="64"/>
      <c r="AI86" s="289"/>
      <c r="AJ86" s="109"/>
      <c r="AK86" s="109"/>
      <c r="AL86" s="286"/>
      <c r="AM86" s="62"/>
      <c r="AN86" s="287"/>
      <c r="AO86" s="62"/>
      <c r="AP86" s="62"/>
      <c r="AQ86" s="62"/>
      <c r="AR86" s="109"/>
      <c r="AS86" s="8"/>
      <c r="AT86" s="64"/>
      <c r="AU86" s="64"/>
      <c r="AV86" s="64"/>
      <c r="AW86" s="64"/>
      <c r="AX86" s="64"/>
      <c r="AY86" s="8"/>
      <c r="AZ86" s="62"/>
    </row>
    <row r="87" spans="1:52" x14ac:dyDescent="0.35">
      <c r="A87" s="8"/>
      <c r="B87" s="8"/>
      <c r="C87" s="8"/>
      <c r="D87" s="8"/>
      <c r="E87" s="64"/>
      <c r="F87" s="64"/>
      <c r="G87" s="8"/>
      <c r="H87" s="65"/>
      <c r="I87" s="66"/>
      <c r="J87" s="67"/>
      <c r="K87" s="68"/>
      <c r="L87" s="69"/>
      <c r="M87" s="69"/>
      <c r="N87" s="69"/>
      <c r="O87" s="69"/>
      <c r="P87" s="69"/>
      <c r="Q87" s="69"/>
      <c r="R87" s="65"/>
      <c r="S87" s="64"/>
      <c r="T87" s="70"/>
      <c r="U87" s="71"/>
      <c r="V87" s="68"/>
      <c r="W87" s="72"/>
      <c r="X87" s="72"/>
      <c r="Y87" s="72"/>
      <c r="Z87" s="73"/>
      <c r="AA87" s="321"/>
      <c r="AB87" s="74"/>
      <c r="AC87" s="69"/>
      <c r="AD87" s="69"/>
      <c r="AE87" s="67"/>
      <c r="AF87" s="8"/>
      <c r="AG87" s="8"/>
      <c r="AH87" s="64"/>
      <c r="AI87" s="289"/>
      <c r="AJ87" s="109"/>
      <c r="AK87" s="109"/>
      <c r="AL87" s="286"/>
      <c r="AM87" s="62"/>
      <c r="AN87" s="287"/>
      <c r="AO87" s="62"/>
      <c r="AP87" s="62"/>
      <c r="AQ87" s="62"/>
      <c r="AR87" s="109"/>
      <c r="AS87" s="8"/>
      <c r="AT87" s="64"/>
      <c r="AU87" s="64"/>
      <c r="AV87" s="64"/>
      <c r="AW87" s="64"/>
      <c r="AX87" s="64"/>
      <c r="AY87" s="8"/>
      <c r="AZ87" s="62"/>
    </row>
    <row r="88" spans="1:52" x14ac:dyDescent="0.35">
      <c r="A88" s="8"/>
      <c r="B88" s="8"/>
      <c r="C88" s="8"/>
      <c r="D88" s="8"/>
      <c r="E88" s="64"/>
      <c r="F88" s="64"/>
      <c r="G88" s="8"/>
      <c r="H88" s="65"/>
      <c r="I88" s="66"/>
      <c r="J88" s="67"/>
      <c r="K88" s="68"/>
      <c r="L88" s="69"/>
      <c r="M88" s="69"/>
      <c r="N88" s="69"/>
      <c r="O88" s="69"/>
      <c r="P88" s="69"/>
      <c r="Q88" s="69"/>
      <c r="R88" s="65"/>
      <c r="S88" s="64"/>
      <c r="T88" s="70"/>
      <c r="U88" s="71"/>
      <c r="V88" s="68"/>
      <c r="W88" s="72"/>
      <c r="X88" s="72"/>
      <c r="Y88" s="72"/>
      <c r="Z88" s="73"/>
      <c r="AA88" s="321"/>
      <c r="AB88" s="74"/>
      <c r="AC88" s="69"/>
      <c r="AD88" s="69"/>
      <c r="AE88" s="67"/>
      <c r="AF88" s="8"/>
      <c r="AG88" s="8"/>
      <c r="AH88" s="64"/>
      <c r="AI88" s="289"/>
      <c r="AJ88" s="109"/>
      <c r="AK88" s="109"/>
      <c r="AL88" s="286"/>
      <c r="AM88" s="62"/>
      <c r="AN88" s="287"/>
      <c r="AO88" s="62"/>
      <c r="AP88" s="62"/>
      <c r="AQ88" s="62"/>
      <c r="AR88" s="109"/>
      <c r="AS88" s="8"/>
      <c r="AT88" s="64"/>
      <c r="AU88" s="64"/>
      <c r="AV88" s="64"/>
      <c r="AW88" s="64"/>
      <c r="AX88" s="64"/>
      <c r="AY88" s="8"/>
      <c r="AZ88" s="62"/>
    </row>
    <row r="89" spans="1:52" x14ac:dyDescent="0.35">
      <c r="A89" s="8"/>
      <c r="B89" s="8"/>
      <c r="C89" s="8"/>
      <c r="D89" s="8"/>
      <c r="E89" s="64"/>
      <c r="F89" s="64"/>
      <c r="G89" s="8"/>
      <c r="H89" s="65"/>
      <c r="I89" s="66"/>
      <c r="J89" s="67"/>
      <c r="K89" s="68"/>
      <c r="L89" s="69"/>
      <c r="M89" s="69"/>
      <c r="N89" s="69"/>
      <c r="O89" s="69"/>
      <c r="P89" s="69"/>
      <c r="Q89" s="69"/>
      <c r="R89" s="65"/>
      <c r="S89" s="64"/>
      <c r="T89" s="70"/>
      <c r="U89" s="71"/>
      <c r="V89" s="68"/>
      <c r="W89" s="72"/>
      <c r="X89" s="72"/>
      <c r="Y89" s="72"/>
      <c r="Z89" s="73"/>
      <c r="AA89" s="321"/>
      <c r="AB89" s="74"/>
      <c r="AC89" s="69"/>
      <c r="AD89" s="69"/>
      <c r="AE89" s="67"/>
      <c r="AF89" s="8"/>
      <c r="AG89" s="8"/>
      <c r="AH89" s="64"/>
      <c r="AI89" s="289"/>
      <c r="AJ89" s="109"/>
      <c r="AK89" s="109"/>
      <c r="AL89" s="286"/>
      <c r="AM89" s="62"/>
      <c r="AN89" s="287"/>
      <c r="AO89" s="62"/>
      <c r="AP89" s="62"/>
      <c r="AQ89" s="62"/>
      <c r="AR89" s="109"/>
      <c r="AS89" s="8"/>
      <c r="AT89" s="64"/>
      <c r="AU89" s="64"/>
      <c r="AV89" s="64"/>
      <c r="AW89" s="64"/>
      <c r="AX89" s="64"/>
      <c r="AY89" s="8"/>
      <c r="AZ89" s="62"/>
    </row>
    <row r="90" spans="1:52" x14ac:dyDescent="0.35">
      <c r="A90" s="8"/>
      <c r="B90" s="8"/>
      <c r="C90" s="8"/>
      <c r="D90" s="8"/>
      <c r="E90" s="64"/>
      <c r="F90" s="64"/>
      <c r="G90" s="8"/>
      <c r="H90" s="65"/>
      <c r="I90" s="66"/>
      <c r="J90" s="67"/>
      <c r="K90" s="68"/>
      <c r="L90" s="69"/>
      <c r="M90" s="69"/>
      <c r="N90" s="69"/>
      <c r="O90" s="69"/>
      <c r="P90" s="69"/>
      <c r="Q90" s="69"/>
      <c r="R90" s="65"/>
      <c r="S90" s="64"/>
      <c r="T90" s="70"/>
      <c r="U90" s="71"/>
      <c r="V90" s="68"/>
      <c r="W90" s="72"/>
      <c r="X90" s="72"/>
      <c r="Y90" s="72"/>
      <c r="Z90" s="73"/>
      <c r="AA90" s="321"/>
      <c r="AB90" s="74"/>
      <c r="AC90" s="69"/>
      <c r="AD90" s="69"/>
      <c r="AE90" s="67"/>
      <c r="AF90" s="8"/>
      <c r="AG90" s="8"/>
      <c r="AH90" s="64"/>
      <c r="AI90" s="289"/>
      <c r="AJ90" s="109"/>
      <c r="AK90" s="109"/>
      <c r="AL90" s="286"/>
      <c r="AM90" s="62"/>
      <c r="AN90" s="287"/>
      <c r="AO90" s="62"/>
      <c r="AP90" s="62"/>
      <c r="AQ90" s="62"/>
      <c r="AR90" s="109"/>
      <c r="AS90" s="8"/>
      <c r="AT90" s="64"/>
      <c r="AU90" s="64"/>
      <c r="AV90" s="64"/>
      <c r="AW90" s="64"/>
      <c r="AX90" s="64"/>
      <c r="AY90" s="8"/>
      <c r="AZ90" s="62"/>
    </row>
    <row r="91" spans="1:52" x14ac:dyDescent="0.35">
      <c r="A91" s="8"/>
      <c r="B91" s="8"/>
      <c r="C91" s="8"/>
      <c r="D91" s="8"/>
      <c r="E91" s="64"/>
      <c r="F91" s="64"/>
      <c r="G91" s="8"/>
      <c r="H91" s="65"/>
      <c r="I91" s="66"/>
      <c r="J91" s="67"/>
      <c r="K91" s="68"/>
      <c r="L91" s="69"/>
      <c r="M91" s="69"/>
      <c r="N91" s="69"/>
      <c r="O91" s="69"/>
      <c r="P91" s="69"/>
      <c r="Q91" s="69"/>
      <c r="R91" s="65"/>
      <c r="S91" s="64"/>
      <c r="T91" s="70"/>
      <c r="U91" s="71"/>
      <c r="V91" s="68"/>
      <c r="W91" s="72"/>
      <c r="X91" s="72"/>
      <c r="Y91" s="72"/>
      <c r="Z91" s="73"/>
      <c r="AA91" s="321"/>
      <c r="AB91" s="74"/>
      <c r="AC91" s="69"/>
      <c r="AD91" s="69"/>
      <c r="AE91" s="67"/>
      <c r="AF91" s="8"/>
      <c r="AG91" s="8"/>
      <c r="AH91" s="64"/>
      <c r="AI91" s="289"/>
      <c r="AJ91" s="109"/>
      <c r="AK91" s="109"/>
      <c r="AL91" s="286"/>
      <c r="AM91" s="62"/>
      <c r="AN91" s="287"/>
      <c r="AO91" s="62"/>
      <c r="AP91" s="62"/>
      <c r="AQ91" s="62"/>
      <c r="AR91" s="109"/>
      <c r="AS91" s="8"/>
      <c r="AT91" s="64"/>
      <c r="AU91" s="64"/>
      <c r="AV91" s="64"/>
      <c r="AW91" s="64"/>
      <c r="AX91" s="64"/>
      <c r="AY91" s="8"/>
      <c r="AZ91" s="62"/>
    </row>
    <row r="92" spans="1:52" x14ac:dyDescent="0.35">
      <c r="A92" s="8"/>
      <c r="B92" s="8"/>
      <c r="C92" s="8"/>
      <c r="D92" s="8"/>
      <c r="E92" s="64"/>
      <c r="F92" s="64"/>
      <c r="G92" s="8"/>
      <c r="H92" s="65"/>
      <c r="I92" s="66"/>
      <c r="J92" s="67"/>
      <c r="K92" s="68"/>
      <c r="L92" s="69"/>
      <c r="M92" s="69"/>
      <c r="N92" s="69"/>
      <c r="O92" s="69"/>
      <c r="P92" s="69"/>
      <c r="Q92" s="69"/>
      <c r="R92" s="65"/>
      <c r="S92" s="64"/>
      <c r="T92" s="70"/>
      <c r="U92" s="71"/>
      <c r="V92" s="68"/>
      <c r="W92" s="72"/>
      <c r="X92" s="72"/>
      <c r="Y92" s="72"/>
      <c r="Z92" s="73"/>
      <c r="AA92" s="321"/>
      <c r="AB92" s="74"/>
      <c r="AC92" s="69"/>
      <c r="AD92" s="69"/>
      <c r="AE92" s="67"/>
      <c r="AF92" s="8"/>
      <c r="AG92" s="8"/>
      <c r="AH92" s="64"/>
      <c r="AI92" s="289"/>
      <c r="AJ92" s="109"/>
      <c r="AK92" s="109"/>
      <c r="AL92" s="286"/>
      <c r="AM92" s="62"/>
      <c r="AN92" s="287"/>
      <c r="AO92" s="62"/>
      <c r="AP92" s="62"/>
      <c r="AQ92" s="62"/>
      <c r="AR92" s="109"/>
      <c r="AS92" s="8"/>
      <c r="AT92" s="64"/>
      <c r="AU92" s="64"/>
      <c r="AV92" s="64"/>
      <c r="AW92" s="64"/>
      <c r="AX92" s="64"/>
      <c r="AY92" s="8"/>
      <c r="AZ92" s="62"/>
    </row>
    <row r="93" spans="1:52" x14ac:dyDescent="0.35">
      <c r="A93" s="8"/>
      <c r="B93" s="8"/>
      <c r="C93" s="8"/>
      <c r="D93" s="8"/>
      <c r="E93" s="64"/>
      <c r="F93" s="64"/>
      <c r="G93" s="8"/>
      <c r="H93" s="65"/>
      <c r="I93" s="66"/>
      <c r="J93" s="67"/>
      <c r="K93" s="68"/>
      <c r="L93" s="69"/>
      <c r="M93" s="69"/>
      <c r="N93" s="69"/>
      <c r="O93" s="69"/>
      <c r="P93" s="69"/>
      <c r="Q93" s="69"/>
      <c r="R93" s="65"/>
      <c r="S93" s="64"/>
      <c r="T93" s="70"/>
      <c r="U93" s="71"/>
      <c r="V93" s="68"/>
      <c r="W93" s="72"/>
      <c r="X93" s="72"/>
      <c r="Y93" s="72"/>
      <c r="Z93" s="73"/>
      <c r="AA93" s="321"/>
      <c r="AB93" s="74"/>
      <c r="AC93" s="69"/>
      <c r="AD93" s="69"/>
      <c r="AE93" s="67"/>
      <c r="AF93" s="8"/>
      <c r="AG93" s="8"/>
      <c r="AH93" s="64"/>
      <c r="AI93" s="289"/>
      <c r="AJ93" s="109"/>
      <c r="AK93" s="109"/>
      <c r="AL93" s="286"/>
      <c r="AM93" s="62"/>
      <c r="AN93" s="287"/>
      <c r="AO93" s="62"/>
      <c r="AP93" s="62"/>
      <c r="AQ93" s="62"/>
      <c r="AR93" s="109"/>
      <c r="AS93" s="8"/>
      <c r="AT93" s="64"/>
      <c r="AU93" s="64"/>
      <c r="AV93" s="64"/>
      <c r="AW93" s="64"/>
      <c r="AX93" s="64"/>
      <c r="AY93" s="8"/>
      <c r="AZ93" s="62"/>
    </row>
    <row r="94" spans="1:52" x14ac:dyDescent="0.35">
      <c r="A94" s="8"/>
      <c r="B94" s="8"/>
      <c r="C94" s="8"/>
      <c r="D94" s="8"/>
      <c r="E94" s="64"/>
      <c r="F94" s="64"/>
      <c r="G94" s="8"/>
      <c r="H94" s="65"/>
      <c r="I94" s="66"/>
      <c r="J94" s="67"/>
      <c r="K94" s="68"/>
      <c r="L94" s="69"/>
      <c r="M94" s="69"/>
      <c r="N94" s="69"/>
      <c r="O94" s="69"/>
      <c r="P94" s="69"/>
      <c r="Q94" s="69"/>
      <c r="R94" s="65"/>
      <c r="S94" s="64"/>
      <c r="T94" s="70"/>
      <c r="U94" s="71"/>
      <c r="V94" s="68"/>
      <c r="W94" s="72"/>
      <c r="X94" s="72"/>
      <c r="Y94" s="72"/>
      <c r="Z94" s="73"/>
      <c r="AA94" s="321"/>
      <c r="AB94" s="74"/>
      <c r="AC94" s="69"/>
      <c r="AD94" s="69"/>
      <c r="AE94" s="67"/>
      <c r="AF94" s="8"/>
      <c r="AG94" s="8"/>
      <c r="AH94" s="64"/>
      <c r="AI94" s="289"/>
      <c r="AJ94" s="109"/>
      <c r="AK94" s="109"/>
      <c r="AL94" s="286"/>
      <c r="AM94" s="62"/>
      <c r="AN94" s="287"/>
      <c r="AO94" s="62"/>
      <c r="AP94" s="62"/>
      <c r="AQ94" s="62"/>
      <c r="AR94" s="109"/>
      <c r="AS94" s="8"/>
      <c r="AT94" s="64"/>
      <c r="AU94" s="64"/>
      <c r="AV94" s="64"/>
      <c r="AW94" s="64"/>
      <c r="AX94" s="64"/>
      <c r="AY94" s="8"/>
      <c r="AZ94" s="62"/>
    </row>
    <row r="95" spans="1:52" x14ac:dyDescent="0.35">
      <c r="A95" s="8"/>
      <c r="B95" s="8"/>
      <c r="C95" s="8"/>
      <c r="D95" s="8"/>
      <c r="E95" s="64"/>
      <c r="F95" s="64"/>
      <c r="G95" s="8"/>
      <c r="H95" s="65"/>
      <c r="I95" s="66"/>
      <c r="J95" s="67"/>
      <c r="K95" s="68"/>
      <c r="L95" s="69"/>
      <c r="M95" s="69"/>
      <c r="N95" s="69"/>
      <c r="O95" s="69"/>
      <c r="P95" s="69"/>
      <c r="Q95" s="69"/>
      <c r="R95" s="65"/>
      <c r="S95" s="64"/>
      <c r="T95" s="70"/>
      <c r="U95" s="71"/>
      <c r="V95" s="68"/>
      <c r="W95" s="72"/>
      <c r="X95" s="72"/>
      <c r="Y95" s="72"/>
      <c r="Z95" s="73"/>
      <c r="AA95" s="321"/>
      <c r="AB95" s="74"/>
      <c r="AC95" s="69"/>
      <c r="AD95" s="69"/>
      <c r="AE95" s="67"/>
      <c r="AF95" s="8"/>
      <c r="AG95" s="8"/>
      <c r="AH95" s="64"/>
      <c r="AI95" s="289"/>
      <c r="AJ95" s="109"/>
      <c r="AK95" s="109"/>
      <c r="AL95" s="286"/>
      <c r="AM95" s="62"/>
      <c r="AN95" s="287"/>
      <c r="AO95" s="62"/>
      <c r="AP95" s="62"/>
      <c r="AQ95" s="62"/>
      <c r="AR95" s="109"/>
      <c r="AS95" s="8"/>
      <c r="AT95" s="64"/>
      <c r="AU95" s="64"/>
      <c r="AV95" s="64"/>
      <c r="AW95" s="64"/>
      <c r="AX95" s="64"/>
      <c r="AY95" s="8"/>
      <c r="AZ95" s="62"/>
    </row>
    <row r="96" spans="1:52" x14ac:dyDescent="0.35">
      <c r="A96" s="8"/>
      <c r="B96" s="8"/>
      <c r="C96" s="8"/>
      <c r="D96" s="8"/>
      <c r="E96" s="64"/>
      <c r="F96" s="64"/>
      <c r="G96" s="8"/>
      <c r="H96" s="65"/>
      <c r="I96" s="66"/>
      <c r="J96" s="67"/>
      <c r="K96" s="68"/>
      <c r="L96" s="69"/>
      <c r="M96" s="69"/>
      <c r="N96" s="69"/>
      <c r="O96" s="69"/>
      <c r="P96" s="69"/>
      <c r="Q96" s="69"/>
      <c r="R96" s="65"/>
      <c r="S96" s="64"/>
      <c r="T96" s="70"/>
      <c r="U96" s="71"/>
      <c r="V96" s="68"/>
      <c r="W96" s="72"/>
      <c r="X96" s="72"/>
      <c r="Y96" s="72"/>
      <c r="Z96" s="73"/>
      <c r="AA96" s="321"/>
      <c r="AB96" s="74"/>
      <c r="AC96" s="69"/>
      <c r="AD96" s="69"/>
      <c r="AE96" s="67"/>
      <c r="AF96" s="8"/>
      <c r="AG96" s="8"/>
      <c r="AH96" s="64"/>
      <c r="AI96" s="289"/>
      <c r="AJ96" s="109"/>
      <c r="AK96" s="109"/>
      <c r="AL96" s="286"/>
      <c r="AM96" s="62"/>
      <c r="AN96" s="287"/>
      <c r="AO96" s="62"/>
      <c r="AP96" s="62"/>
      <c r="AQ96" s="62"/>
      <c r="AR96" s="109"/>
      <c r="AS96" s="8"/>
      <c r="AT96" s="64"/>
      <c r="AU96" s="64"/>
      <c r="AV96" s="64"/>
      <c r="AW96" s="64"/>
      <c r="AX96" s="64"/>
      <c r="AY96" s="8"/>
      <c r="AZ96" s="62"/>
    </row>
    <row r="97" spans="1:52" x14ac:dyDescent="0.35">
      <c r="A97" s="8"/>
      <c r="B97" s="8"/>
      <c r="C97" s="8"/>
      <c r="D97" s="8"/>
      <c r="E97" s="64"/>
      <c r="F97" s="64"/>
      <c r="G97" s="8"/>
      <c r="H97" s="65"/>
      <c r="I97" s="66"/>
      <c r="J97" s="67"/>
      <c r="K97" s="68"/>
      <c r="L97" s="69"/>
      <c r="M97" s="69"/>
      <c r="N97" s="69"/>
      <c r="O97" s="69"/>
      <c r="P97" s="69"/>
      <c r="Q97" s="69"/>
      <c r="R97" s="65"/>
      <c r="S97" s="64"/>
      <c r="T97" s="70"/>
      <c r="U97" s="71"/>
      <c r="V97" s="68"/>
      <c r="W97" s="72"/>
      <c r="X97" s="72"/>
      <c r="Y97" s="72"/>
      <c r="Z97" s="73"/>
      <c r="AA97" s="321"/>
      <c r="AB97" s="74"/>
      <c r="AC97" s="69"/>
      <c r="AD97" s="69"/>
      <c r="AE97" s="67"/>
      <c r="AF97" s="8"/>
      <c r="AG97" s="8"/>
      <c r="AH97" s="64"/>
      <c r="AI97" s="289"/>
      <c r="AJ97" s="109"/>
      <c r="AK97" s="109"/>
      <c r="AL97" s="286"/>
      <c r="AM97" s="62"/>
      <c r="AN97" s="287"/>
      <c r="AO97" s="62"/>
      <c r="AP97" s="62"/>
      <c r="AQ97" s="62"/>
      <c r="AR97" s="109"/>
      <c r="AS97" s="8"/>
      <c r="AT97" s="64"/>
      <c r="AU97" s="64"/>
      <c r="AV97" s="64"/>
      <c r="AW97" s="64"/>
      <c r="AX97" s="64"/>
      <c r="AY97" s="8"/>
      <c r="AZ97" s="62"/>
    </row>
    <row r="98" spans="1:52" x14ac:dyDescent="0.35">
      <c r="A98" s="8"/>
      <c r="B98" s="8"/>
      <c r="C98" s="8"/>
      <c r="D98" s="8"/>
      <c r="E98" s="64"/>
      <c r="F98" s="64"/>
      <c r="G98" s="8"/>
      <c r="H98" s="65"/>
      <c r="I98" s="66"/>
      <c r="J98" s="67"/>
      <c r="K98" s="68"/>
      <c r="L98" s="69"/>
      <c r="M98" s="69"/>
      <c r="N98" s="69"/>
      <c r="O98" s="69"/>
      <c r="P98" s="69"/>
      <c r="Q98" s="69"/>
      <c r="R98" s="65"/>
      <c r="S98" s="64"/>
      <c r="T98" s="70"/>
      <c r="U98" s="71"/>
      <c r="V98" s="68"/>
      <c r="W98" s="72"/>
      <c r="X98" s="72"/>
      <c r="Y98" s="72"/>
      <c r="Z98" s="73"/>
      <c r="AA98" s="321"/>
      <c r="AB98" s="74"/>
      <c r="AC98" s="69"/>
      <c r="AD98" s="69"/>
      <c r="AE98" s="67"/>
      <c r="AF98" s="8"/>
      <c r="AG98" s="8"/>
      <c r="AH98" s="64"/>
      <c r="AI98" s="289"/>
      <c r="AJ98" s="109"/>
      <c r="AK98" s="109"/>
      <c r="AL98" s="286"/>
      <c r="AM98" s="62"/>
      <c r="AN98" s="287"/>
      <c r="AO98" s="62"/>
      <c r="AP98" s="62"/>
      <c r="AQ98" s="62"/>
      <c r="AR98" s="109"/>
      <c r="AS98" s="8"/>
      <c r="AT98" s="64"/>
      <c r="AU98" s="64"/>
      <c r="AV98" s="64"/>
      <c r="AW98" s="64"/>
      <c r="AX98" s="64"/>
      <c r="AY98" s="8"/>
      <c r="AZ98" s="62"/>
    </row>
    <row r="99" spans="1:52" x14ac:dyDescent="0.35">
      <c r="A99" s="8"/>
      <c r="B99" s="8"/>
      <c r="C99" s="8"/>
      <c r="D99" s="8"/>
      <c r="E99" s="64"/>
      <c r="F99" s="64"/>
      <c r="G99" s="8"/>
      <c r="H99" s="65"/>
      <c r="I99" s="66"/>
      <c r="J99" s="67"/>
      <c r="K99" s="68"/>
      <c r="L99" s="69"/>
      <c r="M99" s="69"/>
      <c r="N99" s="69"/>
      <c r="O99" s="69"/>
      <c r="P99" s="69"/>
      <c r="Q99" s="69"/>
      <c r="R99" s="65"/>
      <c r="S99" s="64"/>
      <c r="T99" s="70"/>
      <c r="U99" s="71"/>
      <c r="V99" s="68"/>
      <c r="W99" s="72"/>
      <c r="X99" s="72"/>
      <c r="Y99" s="72"/>
      <c r="Z99" s="73"/>
      <c r="AA99" s="321"/>
      <c r="AB99" s="74"/>
      <c r="AC99" s="69"/>
      <c r="AD99" s="69"/>
      <c r="AE99" s="67"/>
      <c r="AF99" s="8"/>
      <c r="AG99" s="8"/>
      <c r="AH99" s="64"/>
      <c r="AI99" s="289"/>
      <c r="AJ99" s="109"/>
      <c r="AK99" s="109"/>
      <c r="AL99" s="286"/>
      <c r="AM99" s="62"/>
      <c r="AN99" s="287"/>
      <c r="AO99" s="62"/>
      <c r="AP99" s="62"/>
      <c r="AQ99" s="62"/>
      <c r="AR99" s="109"/>
      <c r="AS99" s="8"/>
      <c r="AT99" s="64"/>
      <c r="AU99" s="64"/>
      <c r="AV99" s="64"/>
      <c r="AW99" s="64"/>
      <c r="AX99" s="64"/>
      <c r="AY99" s="8"/>
      <c r="AZ99" s="62"/>
    </row>
    <row r="100" spans="1:52" x14ac:dyDescent="0.35">
      <c r="A100" s="8"/>
      <c r="B100" s="8"/>
      <c r="C100" s="8"/>
      <c r="D100" s="8"/>
      <c r="E100" s="64"/>
      <c r="F100" s="64"/>
      <c r="G100" s="8"/>
      <c r="H100" s="65"/>
      <c r="I100" s="66"/>
      <c r="J100" s="67"/>
      <c r="K100" s="68"/>
      <c r="L100" s="69"/>
      <c r="M100" s="69"/>
      <c r="N100" s="69"/>
      <c r="O100" s="69"/>
      <c r="P100" s="69"/>
      <c r="Q100" s="69"/>
      <c r="R100" s="65"/>
      <c r="S100" s="64"/>
      <c r="T100" s="70"/>
      <c r="U100" s="71"/>
      <c r="V100" s="68"/>
      <c r="W100" s="72"/>
      <c r="X100" s="72"/>
      <c r="Y100" s="72"/>
      <c r="Z100" s="73"/>
      <c r="AA100" s="321"/>
      <c r="AB100" s="74"/>
      <c r="AC100" s="69"/>
      <c r="AD100" s="69"/>
      <c r="AE100" s="67"/>
      <c r="AF100" s="8"/>
      <c r="AG100" s="8"/>
      <c r="AH100" s="64"/>
      <c r="AI100" s="289"/>
      <c r="AJ100" s="109"/>
      <c r="AK100" s="109"/>
      <c r="AL100" s="286"/>
      <c r="AM100" s="62"/>
      <c r="AN100" s="287"/>
      <c r="AO100" s="62"/>
      <c r="AP100" s="62"/>
      <c r="AQ100" s="62"/>
      <c r="AR100" s="109"/>
      <c r="AS100" s="8"/>
      <c r="AT100" s="64"/>
      <c r="AU100" s="64"/>
      <c r="AV100" s="64"/>
      <c r="AW100" s="64"/>
      <c r="AX100" s="64"/>
      <c r="AY100" s="8"/>
      <c r="AZ100" s="62"/>
    </row>
    <row r="101" spans="1:52" x14ac:dyDescent="0.35">
      <c r="A101" s="8"/>
      <c r="B101" s="8"/>
      <c r="C101" s="8"/>
      <c r="D101" s="8"/>
      <c r="E101" s="64"/>
      <c r="F101" s="64"/>
      <c r="G101" s="8"/>
      <c r="H101" s="65"/>
      <c r="I101" s="66"/>
      <c r="J101" s="67"/>
      <c r="K101" s="68"/>
      <c r="L101" s="69"/>
      <c r="M101" s="69"/>
      <c r="N101" s="69"/>
      <c r="O101" s="69"/>
      <c r="P101" s="69"/>
      <c r="Q101" s="69"/>
      <c r="R101" s="65"/>
      <c r="S101" s="64"/>
      <c r="T101" s="70"/>
      <c r="U101" s="71"/>
      <c r="V101" s="68"/>
      <c r="W101" s="72"/>
      <c r="X101" s="72"/>
      <c r="Y101" s="72"/>
      <c r="Z101" s="73"/>
      <c r="AA101" s="321"/>
      <c r="AB101" s="74"/>
      <c r="AC101" s="69"/>
      <c r="AD101" s="69"/>
      <c r="AE101" s="67"/>
      <c r="AF101" s="8"/>
      <c r="AG101" s="8"/>
      <c r="AH101" s="64"/>
      <c r="AI101" s="289"/>
      <c r="AJ101" s="109"/>
      <c r="AK101" s="109"/>
      <c r="AL101" s="286"/>
      <c r="AM101" s="62"/>
      <c r="AN101" s="287"/>
      <c r="AO101" s="62"/>
      <c r="AP101" s="62"/>
      <c r="AQ101" s="62"/>
      <c r="AR101" s="109"/>
      <c r="AS101" s="8"/>
      <c r="AT101" s="64"/>
      <c r="AU101" s="64"/>
      <c r="AV101" s="64"/>
      <c r="AW101" s="64"/>
      <c r="AX101" s="64"/>
      <c r="AY101" s="8"/>
      <c r="AZ101" s="62"/>
    </row>
    <row r="102" spans="1:52" x14ac:dyDescent="0.35">
      <c r="A102" s="8"/>
      <c r="B102" s="8"/>
      <c r="C102" s="8"/>
      <c r="D102" s="8"/>
      <c r="E102" s="64"/>
      <c r="F102" s="64"/>
      <c r="G102" s="8"/>
      <c r="H102" s="65"/>
      <c r="I102" s="66"/>
      <c r="J102" s="67"/>
      <c r="K102" s="68"/>
      <c r="L102" s="69"/>
      <c r="M102" s="69"/>
      <c r="N102" s="69"/>
      <c r="O102" s="69"/>
      <c r="P102" s="69"/>
      <c r="Q102" s="69"/>
      <c r="R102" s="65"/>
      <c r="S102" s="64"/>
      <c r="T102" s="70"/>
      <c r="U102" s="71"/>
      <c r="V102" s="68"/>
      <c r="W102" s="72"/>
      <c r="X102" s="72"/>
      <c r="Y102" s="72"/>
      <c r="Z102" s="73"/>
      <c r="AA102" s="321"/>
      <c r="AB102" s="74"/>
      <c r="AC102" s="69"/>
      <c r="AD102" s="69"/>
      <c r="AE102" s="67"/>
      <c r="AF102" s="8"/>
      <c r="AG102" s="8"/>
      <c r="AH102" s="64"/>
      <c r="AI102" s="289"/>
      <c r="AJ102" s="109"/>
      <c r="AK102" s="109"/>
      <c r="AL102" s="286"/>
      <c r="AM102" s="62"/>
      <c r="AN102" s="287"/>
      <c r="AO102" s="62"/>
      <c r="AP102" s="62"/>
      <c r="AQ102" s="62"/>
      <c r="AR102" s="109"/>
      <c r="AS102" s="8"/>
      <c r="AT102" s="64"/>
      <c r="AU102" s="64"/>
      <c r="AV102" s="64"/>
      <c r="AW102" s="64"/>
      <c r="AX102" s="64"/>
      <c r="AY102" s="8"/>
      <c r="AZ102" s="62"/>
    </row>
    <row r="103" spans="1:52" x14ac:dyDescent="0.35">
      <c r="A103" s="8"/>
      <c r="B103" s="8"/>
      <c r="C103" s="8"/>
      <c r="D103" s="8"/>
      <c r="E103" s="64"/>
      <c r="F103" s="64"/>
      <c r="G103" s="8"/>
      <c r="H103" s="65"/>
      <c r="I103" s="66"/>
      <c r="J103" s="67"/>
      <c r="K103" s="68"/>
      <c r="L103" s="69"/>
      <c r="M103" s="69"/>
      <c r="N103" s="69"/>
      <c r="O103" s="69"/>
      <c r="P103" s="69"/>
      <c r="Q103" s="69"/>
      <c r="R103" s="65"/>
      <c r="S103" s="64"/>
      <c r="T103" s="70"/>
      <c r="U103" s="71"/>
      <c r="V103" s="68"/>
      <c r="W103" s="72"/>
      <c r="X103" s="72"/>
      <c r="Y103" s="72"/>
      <c r="Z103" s="73"/>
      <c r="AA103" s="321"/>
      <c r="AB103" s="74"/>
      <c r="AC103" s="69"/>
      <c r="AD103" s="69"/>
      <c r="AE103" s="67"/>
      <c r="AF103" s="8"/>
      <c r="AG103" s="8"/>
      <c r="AH103" s="64"/>
      <c r="AI103" s="289"/>
      <c r="AJ103" s="109"/>
      <c r="AK103" s="109"/>
      <c r="AL103" s="286"/>
      <c r="AM103" s="62"/>
      <c r="AN103" s="287"/>
      <c r="AO103" s="62"/>
      <c r="AP103" s="62"/>
      <c r="AQ103" s="62"/>
      <c r="AR103" s="109"/>
      <c r="AS103" s="8"/>
      <c r="AT103" s="64"/>
      <c r="AU103" s="64"/>
      <c r="AV103" s="64"/>
      <c r="AW103" s="64"/>
      <c r="AX103" s="64"/>
      <c r="AY103" s="8"/>
      <c r="AZ103" s="62"/>
    </row>
    <row r="104" spans="1:52" x14ac:dyDescent="0.35">
      <c r="A104" s="8"/>
      <c r="B104" s="8"/>
      <c r="C104" s="8"/>
      <c r="D104" s="8"/>
      <c r="E104" s="64"/>
      <c r="F104" s="64"/>
      <c r="G104" s="8"/>
      <c r="H104" s="65"/>
      <c r="I104" s="66"/>
      <c r="J104" s="67"/>
      <c r="K104" s="68"/>
      <c r="L104" s="69"/>
      <c r="M104" s="69"/>
      <c r="N104" s="69"/>
      <c r="O104" s="69"/>
      <c r="P104" s="69"/>
      <c r="Q104" s="69"/>
      <c r="R104" s="65"/>
      <c r="S104" s="64"/>
      <c r="T104" s="70"/>
      <c r="U104" s="71"/>
      <c r="V104" s="68"/>
      <c r="W104" s="72"/>
      <c r="X104" s="72"/>
      <c r="Y104" s="72"/>
      <c r="Z104" s="73"/>
      <c r="AA104" s="321"/>
      <c r="AB104" s="74"/>
      <c r="AC104" s="69"/>
      <c r="AD104" s="69"/>
      <c r="AE104" s="67"/>
      <c r="AF104" s="8"/>
      <c r="AG104" s="8"/>
      <c r="AH104" s="64"/>
      <c r="AI104" s="289"/>
      <c r="AJ104" s="109"/>
      <c r="AK104" s="109"/>
      <c r="AL104" s="286"/>
      <c r="AM104" s="62"/>
      <c r="AN104" s="287"/>
      <c r="AO104" s="62"/>
      <c r="AP104" s="62"/>
      <c r="AQ104" s="62"/>
      <c r="AR104" s="109"/>
      <c r="AS104" s="8"/>
      <c r="AT104" s="64"/>
      <c r="AU104" s="64"/>
      <c r="AV104" s="64"/>
      <c r="AW104" s="64"/>
      <c r="AX104" s="64"/>
      <c r="AY104" s="8"/>
      <c r="AZ104" s="62"/>
    </row>
    <row r="105" spans="1:52" x14ac:dyDescent="0.35">
      <c r="A105" s="8"/>
      <c r="B105" s="8"/>
      <c r="C105" s="8"/>
      <c r="D105" s="8"/>
      <c r="E105" s="64"/>
      <c r="F105" s="64"/>
      <c r="G105" s="8"/>
      <c r="H105" s="65"/>
      <c r="I105" s="66"/>
      <c r="J105" s="67"/>
      <c r="K105" s="68"/>
      <c r="L105" s="69"/>
      <c r="M105" s="69"/>
      <c r="N105" s="69"/>
      <c r="O105" s="69"/>
      <c r="P105" s="69"/>
      <c r="Q105" s="69"/>
      <c r="R105" s="65"/>
      <c r="S105" s="64"/>
      <c r="T105" s="70"/>
      <c r="U105" s="71"/>
      <c r="V105" s="68"/>
      <c r="W105" s="72"/>
      <c r="X105" s="72"/>
      <c r="Y105" s="72"/>
      <c r="Z105" s="73"/>
      <c r="AA105" s="321"/>
      <c r="AB105" s="74"/>
      <c r="AC105" s="69"/>
      <c r="AD105" s="69"/>
      <c r="AE105" s="67"/>
      <c r="AF105" s="8"/>
      <c r="AG105" s="8"/>
      <c r="AH105" s="64"/>
      <c r="AI105" s="289"/>
      <c r="AJ105" s="109"/>
      <c r="AK105" s="109"/>
      <c r="AL105" s="286"/>
      <c r="AM105" s="62"/>
      <c r="AN105" s="287"/>
      <c r="AO105" s="62"/>
      <c r="AP105" s="62"/>
      <c r="AQ105" s="62"/>
      <c r="AR105" s="109"/>
      <c r="AS105" s="8"/>
      <c r="AT105" s="64"/>
      <c r="AU105" s="64"/>
      <c r="AV105" s="64"/>
      <c r="AW105" s="64"/>
      <c r="AX105" s="64"/>
      <c r="AY105" s="8"/>
      <c r="AZ105" s="62"/>
    </row>
    <row r="106" spans="1:52" x14ac:dyDescent="0.35">
      <c r="A106" s="8"/>
      <c r="B106" s="8"/>
      <c r="C106" s="8"/>
      <c r="D106" s="8"/>
      <c r="E106" s="64"/>
      <c r="F106" s="64"/>
      <c r="G106" s="8"/>
      <c r="H106" s="65"/>
      <c r="I106" s="66"/>
      <c r="J106" s="67"/>
      <c r="K106" s="68"/>
      <c r="L106" s="69"/>
      <c r="M106" s="69"/>
      <c r="N106" s="69"/>
      <c r="O106" s="69"/>
      <c r="P106" s="69"/>
      <c r="Q106" s="69"/>
      <c r="R106" s="65"/>
      <c r="S106" s="64"/>
      <c r="T106" s="70"/>
      <c r="U106" s="71"/>
      <c r="V106" s="68"/>
      <c r="W106" s="72"/>
      <c r="X106" s="72"/>
      <c r="Y106" s="72"/>
      <c r="Z106" s="73"/>
      <c r="AA106" s="321"/>
      <c r="AB106" s="74"/>
      <c r="AC106" s="69"/>
      <c r="AD106" s="69"/>
      <c r="AE106" s="67"/>
      <c r="AF106" s="8"/>
      <c r="AG106" s="8"/>
      <c r="AH106" s="64"/>
      <c r="AI106" s="289"/>
      <c r="AJ106" s="109"/>
      <c r="AK106" s="109"/>
      <c r="AL106" s="286"/>
      <c r="AM106" s="62"/>
      <c r="AN106" s="287"/>
      <c r="AO106" s="62"/>
      <c r="AP106" s="62"/>
      <c r="AQ106" s="62"/>
      <c r="AR106" s="109"/>
      <c r="AS106" s="8"/>
      <c r="AT106" s="64"/>
      <c r="AU106" s="64"/>
      <c r="AV106" s="64"/>
      <c r="AW106" s="64"/>
      <c r="AX106" s="64"/>
      <c r="AY106" s="8"/>
      <c r="AZ106" s="62"/>
    </row>
    <row r="107" spans="1:52" x14ac:dyDescent="0.35">
      <c r="A107" s="8"/>
      <c r="B107" s="8"/>
      <c r="C107" s="8"/>
      <c r="D107" s="8"/>
      <c r="E107" s="64"/>
      <c r="F107" s="64"/>
      <c r="G107" s="8"/>
      <c r="H107" s="65"/>
      <c r="I107" s="66"/>
      <c r="J107" s="67"/>
      <c r="K107" s="68"/>
      <c r="L107" s="69"/>
      <c r="M107" s="69"/>
      <c r="N107" s="69"/>
      <c r="O107" s="69"/>
      <c r="P107" s="69"/>
      <c r="Q107" s="69"/>
      <c r="R107" s="65"/>
      <c r="S107" s="64"/>
      <c r="T107" s="70"/>
      <c r="U107" s="71"/>
      <c r="V107" s="68"/>
      <c r="W107" s="72"/>
      <c r="X107" s="72"/>
      <c r="Y107" s="72"/>
      <c r="Z107" s="73"/>
      <c r="AA107" s="321"/>
      <c r="AB107" s="74"/>
      <c r="AC107" s="69"/>
      <c r="AD107" s="69"/>
      <c r="AE107" s="67"/>
      <c r="AF107" s="8"/>
      <c r="AG107" s="8"/>
      <c r="AH107" s="64"/>
      <c r="AI107" s="289"/>
      <c r="AJ107" s="109"/>
      <c r="AK107" s="109"/>
      <c r="AL107" s="286"/>
      <c r="AM107" s="62"/>
      <c r="AN107" s="287"/>
      <c r="AO107" s="62"/>
      <c r="AP107" s="62"/>
      <c r="AQ107" s="62"/>
      <c r="AR107" s="109"/>
      <c r="AS107" s="8"/>
      <c r="AT107" s="64"/>
      <c r="AU107" s="64"/>
      <c r="AV107" s="64"/>
      <c r="AW107" s="64"/>
      <c r="AX107" s="64"/>
      <c r="AY107" s="8"/>
      <c r="AZ107" s="62"/>
    </row>
    <row r="108" spans="1:52" x14ac:dyDescent="0.35">
      <c r="A108" s="8"/>
      <c r="B108" s="8"/>
      <c r="C108" s="8"/>
      <c r="D108" s="8"/>
      <c r="E108" s="64"/>
      <c r="F108" s="64"/>
      <c r="G108" s="8"/>
      <c r="H108" s="65"/>
      <c r="I108" s="66"/>
      <c r="J108" s="67"/>
      <c r="K108" s="68"/>
      <c r="L108" s="69"/>
      <c r="M108" s="69"/>
      <c r="N108" s="69"/>
      <c r="O108" s="69"/>
      <c r="P108" s="69"/>
      <c r="Q108" s="69"/>
      <c r="R108" s="65"/>
      <c r="S108" s="64"/>
      <c r="T108" s="70"/>
      <c r="U108" s="71"/>
      <c r="V108" s="68"/>
      <c r="W108" s="72"/>
      <c r="X108" s="72"/>
      <c r="Y108" s="72"/>
      <c r="Z108" s="73"/>
      <c r="AA108" s="321"/>
      <c r="AB108" s="74"/>
      <c r="AC108" s="69"/>
      <c r="AD108" s="69"/>
      <c r="AE108" s="67"/>
      <c r="AF108" s="8"/>
      <c r="AG108" s="8"/>
      <c r="AH108" s="64"/>
      <c r="AI108" s="289"/>
      <c r="AJ108" s="109"/>
      <c r="AK108" s="109"/>
      <c r="AL108" s="286"/>
      <c r="AM108" s="62"/>
      <c r="AN108" s="287"/>
      <c r="AO108" s="62"/>
      <c r="AP108" s="62"/>
      <c r="AQ108" s="62"/>
      <c r="AR108" s="109"/>
      <c r="AS108" s="8"/>
      <c r="AT108" s="64"/>
      <c r="AU108" s="64"/>
      <c r="AV108" s="64"/>
      <c r="AW108" s="64"/>
      <c r="AX108" s="64"/>
      <c r="AY108" s="8"/>
      <c r="AZ108" s="62"/>
    </row>
    <row r="109" spans="1:52" x14ac:dyDescent="0.35">
      <c r="A109" s="8"/>
      <c r="B109" s="8"/>
      <c r="C109" s="8"/>
      <c r="D109" s="8"/>
      <c r="E109" s="64"/>
      <c r="F109" s="64"/>
      <c r="G109" s="8"/>
      <c r="H109" s="65"/>
      <c r="I109" s="66"/>
      <c r="J109" s="67"/>
      <c r="K109" s="68"/>
      <c r="L109" s="69"/>
      <c r="M109" s="69"/>
      <c r="N109" s="69"/>
      <c r="O109" s="69"/>
      <c r="P109" s="69"/>
      <c r="Q109" s="69"/>
      <c r="R109" s="65"/>
      <c r="S109" s="64"/>
      <c r="T109" s="70"/>
      <c r="U109" s="71"/>
      <c r="V109" s="68"/>
      <c r="W109" s="72"/>
      <c r="X109" s="72"/>
      <c r="Y109" s="72"/>
      <c r="Z109" s="73"/>
      <c r="AA109" s="321"/>
      <c r="AB109" s="74"/>
      <c r="AC109" s="69"/>
      <c r="AD109" s="69"/>
      <c r="AE109" s="67"/>
      <c r="AF109" s="8"/>
      <c r="AG109" s="8"/>
      <c r="AH109" s="64"/>
      <c r="AI109" s="289"/>
      <c r="AJ109" s="109"/>
      <c r="AK109" s="109"/>
      <c r="AL109" s="286"/>
      <c r="AM109" s="62"/>
      <c r="AN109" s="287"/>
      <c r="AO109" s="62"/>
      <c r="AP109" s="62"/>
      <c r="AQ109" s="62"/>
      <c r="AR109" s="109"/>
      <c r="AS109" s="8"/>
      <c r="AT109" s="64"/>
      <c r="AU109" s="64"/>
      <c r="AV109" s="64"/>
      <c r="AW109" s="64"/>
      <c r="AX109" s="64"/>
      <c r="AY109" s="8"/>
      <c r="AZ109" s="62"/>
    </row>
    <row r="110" spans="1:52" x14ac:dyDescent="0.35">
      <c r="A110" s="8"/>
      <c r="B110" s="8"/>
      <c r="C110" s="8"/>
      <c r="D110" s="8"/>
      <c r="E110" s="64"/>
      <c r="F110" s="64"/>
      <c r="G110" s="8"/>
      <c r="H110" s="65"/>
      <c r="I110" s="66"/>
      <c r="J110" s="67"/>
      <c r="K110" s="68"/>
      <c r="L110" s="69"/>
      <c r="M110" s="69"/>
      <c r="N110" s="69"/>
      <c r="O110" s="69"/>
      <c r="P110" s="69"/>
      <c r="Q110" s="69"/>
      <c r="R110" s="65"/>
      <c r="S110" s="64"/>
      <c r="T110" s="70"/>
      <c r="U110" s="71"/>
      <c r="V110" s="68"/>
      <c r="W110" s="72"/>
      <c r="X110" s="72"/>
      <c r="Y110" s="72"/>
      <c r="Z110" s="73"/>
      <c r="AA110" s="321"/>
      <c r="AB110" s="74"/>
      <c r="AC110" s="69"/>
      <c r="AD110" s="69"/>
      <c r="AE110" s="67"/>
      <c r="AF110" s="8"/>
      <c r="AG110" s="8"/>
      <c r="AH110" s="64"/>
      <c r="AI110" s="289"/>
      <c r="AJ110" s="109"/>
      <c r="AK110" s="109"/>
      <c r="AL110" s="286"/>
      <c r="AM110" s="62"/>
      <c r="AN110" s="287"/>
      <c r="AO110" s="62"/>
      <c r="AP110" s="62"/>
      <c r="AQ110" s="62"/>
      <c r="AR110" s="109"/>
      <c r="AS110" s="8"/>
      <c r="AT110" s="64"/>
      <c r="AU110" s="64"/>
      <c r="AV110" s="64"/>
      <c r="AW110" s="64"/>
      <c r="AX110" s="64"/>
      <c r="AY110" s="8"/>
      <c r="AZ110" s="62"/>
    </row>
    <row r="111" spans="1:52" x14ac:dyDescent="0.35">
      <c r="A111" s="8"/>
      <c r="B111" s="8"/>
      <c r="C111" s="8"/>
      <c r="D111" s="8"/>
      <c r="E111" s="64"/>
      <c r="F111" s="64"/>
      <c r="G111" s="8"/>
      <c r="H111" s="65"/>
      <c r="I111" s="66"/>
      <c r="J111" s="67"/>
      <c r="K111" s="68"/>
      <c r="L111" s="69"/>
      <c r="M111" s="69"/>
      <c r="N111" s="69"/>
      <c r="O111" s="69"/>
      <c r="P111" s="69"/>
      <c r="Q111" s="69"/>
      <c r="R111" s="65"/>
      <c r="S111" s="64"/>
      <c r="T111" s="70"/>
      <c r="U111" s="71"/>
      <c r="V111" s="68"/>
      <c r="W111" s="72"/>
      <c r="X111" s="72"/>
      <c r="Y111" s="72"/>
      <c r="Z111" s="73"/>
      <c r="AA111" s="321"/>
      <c r="AB111" s="74"/>
      <c r="AC111" s="69"/>
      <c r="AD111" s="69"/>
      <c r="AE111" s="67"/>
      <c r="AF111" s="8"/>
      <c r="AG111" s="8"/>
      <c r="AH111" s="64"/>
      <c r="AI111" s="289"/>
      <c r="AJ111" s="109"/>
      <c r="AK111" s="109"/>
      <c r="AL111" s="286"/>
      <c r="AM111" s="62"/>
      <c r="AN111" s="287"/>
      <c r="AO111" s="62"/>
      <c r="AP111" s="62"/>
      <c r="AQ111" s="62"/>
      <c r="AR111" s="109"/>
      <c r="AS111" s="8"/>
      <c r="AT111" s="64"/>
      <c r="AU111" s="64"/>
      <c r="AV111" s="64"/>
      <c r="AW111" s="64"/>
      <c r="AX111" s="64"/>
      <c r="AY111" s="8"/>
      <c r="AZ111" s="62"/>
    </row>
    <row r="112" spans="1:52" x14ac:dyDescent="0.35">
      <c r="A112" s="8"/>
      <c r="B112" s="8"/>
      <c r="C112" s="8"/>
      <c r="D112" s="8"/>
      <c r="E112" s="64"/>
      <c r="F112" s="64"/>
      <c r="G112" s="8"/>
      <c r="H112" s="65"/>
      <c r="I112" s="66"/>
      <c r="J112" s="67"/>
      <c r="K112" s="68"/>
      <c r="L112" s="69"/>
      <c r="M112" s="69"/>
      <c r="N112" s="69"/>
      <c r="O112" s="69"/>
      <c r="P112" s="69"/>
      <c r="Q112" s="69"/>
      <c r="R112" s="65"/>
      <c r="S112" s="64"/>
      <c r="T112" s="70"/>
      <c r="U112" s="71"/>
      <c r="V112" s="68"/>
      <c r="W112" s="72"/>
      <c r="X112" s="72"/>
      <c r="Y112" s="72"/>
      <c r="Z112" s="73"/>
      <c r="AA112" s="321"/>
      <c r="AB112" s="74"/>
      <c r="AC112" s="69"/>
      <c r="AD112" s="69"/>
      <c r="AE112" s="67"/>
      <c r="AF112" s="8"/>
      <c r="AG112" s="8"/>
      <c r="AH112" s="64"/>
      <c r="AI112" s="289"/>
      <c r="AJ112" s="109"/>
      <c r="AK112" s="109"/>
      <c r="AL112" s="286"/>
      <c r="AM112" s="62"/>
      <c r="AN112" s="287"/>
      <c r="AO112" s="62"/>
      <c r="AP112" s="62"/>
      <c r="AQ112" s="62"/>
      <c r="AR112" s="109"/>
      <c r="AS112" s="8"/>
      <c r="AT112" s="64"/>
      <c r="AU112" s="64"/>
      <c r="AV112" s="64"/>
      <c r="AW112" s="64"/>
      <c r="AX112" s="64"/>
      <c r="AY112" s="8"/>
      <c r="AZ112" s="62"/>
    </row>
    <row r="113" spans="1:52" x14ac:dyDescent="0.35">
      <c r="A113" s="8"/>
      <c r="B113" s="8"/>
      <c r="C113" s="8"/>
      <c r="D113" s="8"/>
      <c r="E113" s="64"/>
      <c r="F113" s="64"/>
      <c r="G113" s="8"/>
      <c r="H113" s="65"/>
      <c r="I113" s="66"/>
      <c r="J113" s="67"/>
      <c r="K113" s="68"/>
      <c r="L113" s="69"/>
      <c r="M113" s="69"/>
      <c r="N113" s="69"/>
      <c r="O113" s="69"/>
      <c r="P113" s="69"/>
      <c r="Q113" s="69"/>
      <c r="R113" s="65"/>
      <c r="S113" s="64"/>
      <c r="T113" s="70"/>
      <c r="U113" s="71"/>
      <c r="V113" s="68"/>
      <c r="W113" s="72"/>
      <c r="X113" s="72"/>
      <c r="Y113" s="72"/>
      <c r="Z113" s="73"/>
      <c r="AA113" s="321"/>
      <c r="AB113" s="74"/>
      <c r="AC113" s="69"/>
      <c r="AD113" s="69"/>
      <c r="AE113" s="67"/>
      <c r="AF113" s="8"/>
      <c r="AG113" s="8"/>
      <c r="AH113" s="64"/>
      <c r="AI113" s="289"/>
      <c r="AJ113" s="109"/>
      <c r="AK113" s="109"/>
      <c r="AL113" s="286"/>
      <c r="AM113" s="62"/>
      <c r="AN113" s="287"/>
      <c r="AO113" s="62"/>
      <c r="AP113" s="62"/>
      <c r="AQ113" s="62"/>
      <c r="AR113" s="109"/>
      <c r="AS113" s="8"/>
      <c r="AT113" s="64"/>
      <c r="AU113" s="64"/>
      <c r="AV113" s="64"/>
      <c r="AW113" s="64"/>
      <c r="AX113" s="64"/>
      <c r="AY113" s="8"/>
      <c r="AZ113" s="62"/>
    </row>
    <row r="114" spans="1:52" x14ac:dyDescent="0.35">
      <c r="A114" s="8"/>
      <c r="B114" s="8"/>
      <c r="C114" s="8"/>
      <c r="D114" s="8"/>
      <c r="E114" s="64"/>
      <c r="F114" s="64"/>
      <c r="G114" s="8"/>
      <c r="H114" s="65"/>
      <c r="I114" s="66"/>
      <c r="J114" s="67"/>
      <c r="K114" s="68"/>
      <c r="L114" s="69"/>
      <c r="M114" s="69"/>
      <c r="N114" s="69"/>
      <c r="O114" s="69"/>
      <c r="P114" s="69"/>
      <c r="Q114" s="69"/>
      <c r="R114" s="65"/>
      <c r="S114" s="64"/>
      <c r="T114" s="70"/>
      <c r="U114" s="71"/>
      <c r="V114" s="68"/>
      <c r="W114" s="72"/>
      <c r="X114" s="72"/>
      <c r="Y114" s="72"/>
      <c r="Z114" s="73"/>
      <c r="AA114" s="321"/>
      <c r="AB114" s="74"/>
      <c r="AC114" s="69"/>
      <c r="AD114" s="69"/>
      <c r="AE114" s="67"/>
      <c r="AF114" s="8"/>
      <c r="AG114" s="8"/>
      <c r="AH114" s="64"/>
      <c r="AI114" s="289"/>
      <c r="AJ114" s="109"/>
      <c r="AK114" s="109"/>
      <c r="AL114" s="286"/>
      <c r="AM114" s="62"/>
      <c r="AN114" s="287"/>
      <c r="AO114" s="62"/>
      <c r="AP114" s="62"/>
      <c r="AQ114" s="62"/>
      <c r="AR114" s="109"/>
      <c r="AS114" s="8"/>
      <c r="AT114" s="64"/>
      <c r="AU114" s="64"/>
      <c r="AV114" s="64"/>
      <c r="AW114" s="64"/>
      <c r="AX114" s="64"/>
      <c r="AY114" s="8"/>
      <c r="AZ114" s="62"/>
    </row>
    <row r="115" spans="1:52" x14ac:dyDescent="0.35">
      <c r="A115" s="8"/>
      <c r="B115" s="8"/>
      <c r="C115" s="8"/>
      <c r="D115" s="8"/>
      <c r="E115" s="64"/>
      <c r="F115" s="64"/>
      <c r="G115" s="8"/>
      <c r="H115" s="65"/>
      <c r="I115" s="66"/>
      <c r="J115" s="67"/>
      <c r="K115" s="68"/>
      <c r="L115" s="69"/>
      <c r="M115" s="69"/>
      <c r="N115" s="69"/>
      <c r="O115" s="69"/>
      <c r="P115" s="69"/>
      <c r="Q115" s="69"/>
      <c r="R115" s="65"/>
      <c r="S115" s="64"/>
      <c r="T115" s="70"/>
      <c r="U115" s="71"/>
      <c r="V115" s="68"/>
      <c r="W115" s="72"/>
      <c r="X115" s="72"/>
      <c r="Y115" s="72"/>
      <c r="Z115" s="73"/>
      <c r="AA115" s="321"/>
      <c r="AB115" s="74"/>
      <c r="AC115" s="69"/>
      <c r="AD115" s="69"/>
      <c r="AE115" s="67"/>
      <c r="AF115" s="8"/>
      <c r="AG115" s="8"/>
      <c r="AH115" s="64"/>
      <c r="AI115" s="289"/>
      <c r="AJ115" s="109"/>
      <c r="AK115" s="109"/>
      <c r="AL115" s="286"/>
      <c r="AM115" s="62"/>
      <c r="AN115" s="287"/>
      <c r="AO115" s="62"/>
      <c r="AP115" s="62"/>
      <c r="AQ115" s="62"/>
      <c r="AR115" s="109"/>
      <c r="AS115" s="8"/>
      <c r="AT115" s="64"/>
      <c r="AU115" s="64"/>
      <c r="AV115" s="64"/>
      <c r="AW115" s="64"/>
      <c r="AX115" s="64"/>
      <c r="AY115" s="8"/>
      <c r="AZ115" s="62"/>
    </row>
    <row r="116" spans="1:52" x14ac:dyDescent="0.35">
      <c r="A116" s="8"/>
      <c r="B116" s="8"/>
      <c r="C116" s="8"/>
      <c r="D116" s="8"/>
      <c r="E116" s="64"/>
      <c r="F116" s="64"/>
      <c r="G116" s="8"/>
      <c r="H116" s="65"/>
      <c r="I116" s="66"/>
      <c r="J116" s="67"/>
      <c r="K116" s="68"/>
      <c r="L116" s="69"/>
      <c r="M116" s="69"/>
      <c r="N116" s="69"/>
      <c r="O116" s="69"/>
      <c r="P116" s="69"/>
      <c r="Q116" s="69"/>
      <c r="R116" s="65"/>
      <c r="S116" s="64"/>
      <c r="T116" s="70"/>
      <c r="U116" s="71"/>
      <c r="V116" s="68"/>
      <c r="W116" s="72"/>
      <c r="X116" s="72"/>
      <c r="Y116" s="72"/>
      <c r="Z116" s="73"/>
      <c r="AA116" s="321"/>
      <c r="AB116" s="74"/>
      <c r="AC116" s="69"/>
      <c r="AD116" s="69"/>
      <c r="AE116" s="67"/>
      <c r="AF116" s="8"/>
      <c r="AG116" s="8"/>
      <c r="AH116" s="64"/>
      <c r="AI116" s="289"/>
      <c r="AJ116" s="109"/>
      <c r="AK116" s="109"/>
      <c r="AL116" s="286"/>
      <c r="AM116" s="62"/>
      <c r="AN116" s="287"/>
      <c r="AO116" s="62"/>
      <c r="AP116" s="62"/>
      <c r="AQ116" s="62"/>
      <c r="AR116" s="109"/>
      <c r="AS116" s="8"/>
      <c r="AT116" s="64"/>
      <c r="AU116" s="64"/>
      <c r="AV116" s="64"/>
      <c r="AW116" s="64"/>
      <c r="AX116" s="64"/>
      <c r="AY116" s="8"/>
      <c r="AZ116" s="62"/>
    </row>
    <row r="117" spans="1:52" x14ac:dyDescent="0.35">
      <c r="A117" s="8"/>
      <c r="B117" s="8"/>
      <c r="C117" s="8"/>
      <c r="D117" s="8"/>
      <c r="E117" s="64"/>
      <c r="F117" s="64"/>
      <c r="G117" s="8"/>
      <c r="H117" s="65"/>
      <c r="I117" s="66"/>
      <c r="J117" s="67"/>
      <c r="K117" s="68"/>
      <c r="L117" s="69"/>
      <c r="M117" s="69"/>
      <c r="N117" s="69"/>
      <c r="O117" s="69"/>
      <c r="P117" s="69"/>
      <c r="Q117" s="69"/>
      <c r="R117" s="65"/>
      <c r="S117" s="64"/>
      <c r="T117" s="70"/>
      <c r="U117" s="71"/>
      <c r="V117" s="68"/>
      <c r="W117" s="72"/>
      <c r="X117" s="72"/>
      <c r="Y117" s="72"/>
      <c r="Z117" s="73"/>
      <c r="AA117" s="321"/>
      <c r="AB117" s="74"/>
      <c r="AC117" s="69"/>
      <c r="AD117" s="69"/>
      <c r="AE117" s="67"/>
      <c r="AF117" s="8"/>
      <c r="AG117" s="8"/>
      <c r="AH117" s="64"/>
      <c r="AI117" s="289"/>
      <c r="AJ117" s="109"/>
      <c r="AK117" s="109"/>
      <c r="AL117" s="286"/>
      <c r="AM117" s="62"/>
      <c r="AN117" s="287"/>
      <c r="AO117" s="62"/>
      <c r="AP117" s="62"/>
      <c r="AQ117" s="62"/>
      <c r="AR117" s="109"/>
      <c r="AS117" s="8"/>
      <c r="AT117" s="64"/>
      <c r="AU117" s="64"/>
      <c r="AV117" s="64"/>
      <c r="AW117" s="64"/>
      <c r="AX117" s="64"/>
      <c r="AY117" s="8"/>
      <c r="AZ117" s="62"/>
    </row>
    <row r="118" spans="1:52" x14ac:dyDescent="0.35">
      <c r="A118" s="8"/>
      <c r="B118" s="8"/>
      <c r="C118" s="8"/>
      <c r="D118" s="8"/>
      <c r="E118" s="64"/>
      <c r="F118" s="64"/>
      <c r="G118" s="8"/>
      <c r="H118" s="65"/>
      <c r="I118" s="66"/>
      <c r="J118" s="67"/>
      <c r="K118" s="68"/>
      <c r="L118" s="69"/>
      <c r="M118" s="69"/>
      <c r="N118" s="69"/>
      <c r="O118" s="69"/>
      <c r="P118" s="69"/>
      <c r="Q118" s="69"/>
      <c r="R118" s="65"/>
      <c r="S118" s="64"/>
      <c r="T118" s="70"/>
      <c r="U118" s="71"/>
      <c r="V118" s="68"/>
      <c r="W118" s="72"/>
      <c r="X118" s="72"/>
      <c r="Y118" s="72"/>
      <c r="Z118" s="73"/>
      <c r="AA118" s="321"/>
      <c r="AB118" s="74"/>
      <c r="AC118" s="69"/>
      <c r="AD118" s="69"/>
      <c r="AE118" s="67"/>
      <c r="AF118" s="8"/>
      <c r="AG118" s="8"/>
      <c r="AH118" s="64"/>
      <c r="AI118" s="289"/>
      <c r="AJ118" s="109"/>
      <c r="AK118" s="109"/>
      <c r="AL118" s="286"/>
      <c r="AM118" s="62"/>
      <c r="AN118" s="287"/>
      <c r="AO118" s="62"/>
      <c r="AP118" s="62"/>
      <c r="AQ118" s="62"/>
      <c r="AR118" s="109"/>
      <c r="AS118" s="8"/>
      <c r="AT118" s="64"/>
      <c r="AU118" s="64"/>
      <c r="AV118" s="64"/>
      <c r="AW118" s="64"/>
      <c r="AX118" s="64"/>
      <c r="AY118" s="8"/>
      <c r="AZ118" s="62"/>
    </row>
    <row r="119" spans="1:52" x14ac:dyDescent="0.35">
      <c r="A119" s="8"/>
      <c r="B119" s="8"/>
      <c r="C119" s="8"/>
      <c r="D119" s="8"/>
      <c r="E119" s="64"/>
      <c r="F119" s="64"/>
      <c r="G119" s="8"/>
      <c r="H119" s="65"/>
      <c r="I119" s="66"/>
      <c r="J119" s="67"/>
      <c r="K119" s="68"/>
      <c r="L119" s="69"/>
      <c r="M119" s="69"/>
      <c r="N119" s="69"/>
      <c r="O119" s="69"/>
      <c r="P119" s="69"/>
      <c r="Q119" s="69"/>
      <c r="R119" s="65"/>
      <c r="S119" s="64"/>
      <c r="T119" s="70"/>
      <c r="U119" s="71"/>
      <c r="V119" s="68"/>
      <c r="W119" s="72"/>
      <c r="X119" s="72"/>
      <c r="Y119" s="72"/>
      <c r="Z119" s="73"/>
      <c r="AA119" s="321"/>
      <c r="AB119" s="74"/>
      <c r="AC119" s="69"/>
      <c r="AD119" s="69"/>
      <c r="AE119" s="67"/>
      <c r="AF119" s="8"/>
      <c r="AG119" s="8"/>
      <c r="AH119" s="64"/>
      <c r="AI119" s="289"/>
      <c r="AJ119" s="109"/>
      <c r="AK119" s="109"/>
      <c r="AL119" s="286"/>
      <c r="AM119" s="62"/>
      <c r="AN119" s="287"/>
      <c r="AO119" s="62"/>
      <c r="AP119" s="62"/>
      <c r="AQ119" s="62"/>
      <c r="AR119" s="109"/>
      <c r="AS119" s="8"/>
      <c r="AT119" s="64"/>
      <c r="AU119" s="64"/>
      <c r="AV119" s="64"/>
      <c r="AW119" s="64"/>
      <c r="AX119" s="64"/>
      <c r="AY119" s="8"/>
      <c r="AZ119" s="62"/>
    </row>
    <row r="120" spans="1:52" x14ac:dyDescent="0.35">
      <c r="A120" s="8"/>
      <c r="B120" s="8"/>
      <c r="C120" s="8"/>
      <c r="D120" s="8"/>
      <c r="E120" s="64"/>
      <c r="F120" s="64"/>
      <c r="G120" s="8"/>
      <c r="H120" s="65"/>
      <c r="I120" s="66"/>
      <c r="J120" s="67"/>
      <c r="K120" s="68"/>
      <c r="L120" s="69"/>
      <c r="M120" s="69"/>
      <c r="N120" s="69"/>
      <c r="O120" s="69"/>
      <c r="P120" s="69"/>
      <c r="Q120" s="69"/>
      <c r="R120" s="65"/>
      <c r="S120" s="64"/>
      <c r="T120" s="70"/>
      <c r="U120" s="71"/>
      <c r="V120" s="68"/>
      <c r="W120" s="72"/>
      <c r="X120" s="72"/>
      <c r="Y120" s="72"/>
      <c r="Z120" s="73"/>
      <c r="AA120" s="321"/>
      <c r="AB120" s="74"/>
      <c r="AC120" s="69"/>
      <c r="AD120" s="69"/>
      <c r="AE120" s="67"/>
      <c r="AF120" s="8"/>
      <c r="AG120" s="8"/>
      <c r="AH120" s="64"/>
      <c r="AI120" s="289"/>
      <c r="AJ120" s="109"/>
      <c r="AK120" s="109"/>
      <c r="AL120" s="286"/>
      <c r="AM120" s="62"/>
      <c r="AN120" s="287"/>
      <c r="AO120" s="62"/>
      <c r="AP120" s="62"/>
      <c r="AQ120" s="62"/>
      <c r="AR120" s="109"/>
      <c r="AS120" s="8"/>
      <c r="AT120" s="64"/>
      <c r="AU120" s="64"/>
      <c r="AV120" s="64"/>
      <c r="AW120" s="64"/>
      <c r="AX120" s="64"/>
      <c r="AY120" s="8"/>
      <c r="AZ120" s="62"/>
    </row>
    <row r="121" spans="1:52" x14ac:dyDescent="0.35">
      <c r="A121" s="8"/>
      <c r="B121" s="8"/>
      <c r="C121" s="8"/>
      <c r="D121" s="8"/>
      <c r="E121" s="64"/>
      <c r="F121" s="64"/>
      <c r="G121" s="8"/>
      <c r="H121" s="65"/>
      <c r="I121" s="66"/>
      <c r="J121" s="67"/>
      <c r="K121" s="68"/>
      <c r="L121" s="69"/>
      <c r="M121" s="69"/>
      <c r="N121" s="69"/>
      <c r="O121" s="69"/>
      <c r="P121" s="69"/>
      <c r="Q121" s="69"/>
      <c r="R121" s="65"/>
      <c r="S121" s="64"/>
      <c r="T121" s="70"/>
      <c r="U121" s="71"/>
      <c r="V121" s="68"/>
      <c r="W121" s="72"/>
      <c r="X121" s="72"/>
      <c r="Y121" s="72"/>
      <c r="Z121" s="73"/>
      <c r="AA121" s="321"/>
      <c r="AB121" s="74"/>
      <c r="AC121" s="69"/>
      <c r="AD121" s="69"/>
      <c r="AE121" s="67"/>
      <c r="AF121" s="8"/>
      <c r="AG121" s="8"/>
      <c r="AH121" s="64"/>
      <c r="AI121" s="289"/>
      <c r="AJ121" s="109"/>
      <c r="AK121" s="109"/>
      <c r="AL121" s="286"/>
      <c r="AM121" s="62"/>
      <c r="AN121" s="287"/>
      <c r="AO121" s="62"/>
      <c r="AP121" s="62"/>
      <c r="AQ121" s="62"/>
      <c r="AR121" s="109"/>
      <c r="AS121" s="8"/>
      <c r="AT121" s="64"/>
      <c r="AU121" s="64"/>
      <c r="AV121" s="64"/>
      <c r="AW121" s="64"/>
      <c r="AX121" s="64"/>
      <c r="AY121" s="8"/>
      <c r="AZ121" s="62"/>
    </row>
    <row r="122" spans="1:52" x14ac:dyDescent="0.35">
      <c r="A122" s="8"/>
      <c r="B122" s="8"/>
      <c r="C122" s="8"/>
      <c r="D122" s="8"/>
      <c r="E122" s="64"/>
      <c r="F122" s="64"/>
      <c r="G122" s="8"/>
      <c r="H122" s="65"/>
      <c r="I122" s="66"/>
      <c r="J122" s="67"/>
      <c r="K122" s="68"/>
      <c r="L122" s="69"/>
      <c r="M122" s="69"/>
      <c r="N122" s="69"/>
      <c r="O122" s="69"/>
      <c r="P122" s="69"/>
      <c r="Q122" s="69"/>
      <c r="R122" s="65"/>
      <c r="S122" s="64"/>
      <c r="T122" s="70"/>
      <c r="U122" s="71"/>
      <c r="V122" s="68"/>
      <c r="W122" s="72"/>
      <c r="X122" s="72"/>
      <c r="Y122" s="72"/>
      <c r="Z122" s="73"/>
      <c r="AA122" s="321"/>
      <c r="AB122" s="74"/>
      <c r="AC122" s="69"/>
      <c r="AD122" s="69"/>
      <c r="AE122" s="67"/>
      <c r="AF122" s="8"/>
      <c r="AG122" s="8"/>
      <c r="AH122" s="64"/>
      <c r="AI122" s="289"/>
      <c r="AJ122" s="109"/>
      <c r="AK122" s="109"/>
      <c r="AL122" s="286"/>
      <c r="AM122" s="62"/>
      <c r="AN122" s="287"/>
      <c r="AO122" s="62"/>
      <c r="AP122" s="62"/>
      <c r="AQ122" s="62"/>
      <c r="AR122" s="109"/>
      <c r="AS122" s="8"/>
      <c r="AT122" s="64"/>
      <c r="AU122" s="64"/>
      <c r="AV122" s="64"/>
      <c r="AW122" s="64"/>
      <c r="AX122" s="64"/>
      <c r="AY122" s="8"/>
      <c r="AZ122" s="62"/>
    </row>
    <row r="123" spans="1:52" x14ac:dyDescent="0.35">
      <c r="A123" s="8"/>
      <c r="B123" s="8"/>
      <c r="C123" s="8"/>
      <c r="D123" s="8"/>
      <c r="E123" s="64"/>
      <c r="F123" s="64"/>
      <c r="G123" s="8"/>
      <c r="H123" s="65"/>
      <c r="I123" s="66"/>
      <c r="J123" s="67"/>
      <c r="K123" s="68"/>
      <c r="L123" s="69"/>
      <c r="M123" s="69"/>
      <c r="N123" s="69"/>
      <c r="O123" s="69"/>
      <c r="P123" s="69"/>
      <c r="Q123" s="69"/>
      <c r="R123" s="65"/>
      <c r="S123" s="64"/>
      <c r="T123" s="70"/>
      <c r="U123" s="71"/>
      <c r="V123" s="68"/>
      <c r="W123" s="72"/>
      <c r="X123" s="72"/>
      <c r="Y123" s="72"/>
      <c r="Z123" s="73"/>
      <c r="AA123" s="321"/>
      <c r="AB123" s="74"/>
      <c r="AC123" s="69"/>
      <c r="AD123" s="69"/>
      <c r="AE123" s="67"/>
      <c r="AF123" s="8"/>
      <c r="AG123" s="8"/>
      <c r="AH123" s="64"/>
      <c r="AI123" s="289"/>
      <c r="AJ123" s="109"/>
      <c r="AK123" s="109"/>
      <c r="AL123" s="286"/>
      <c r="AM123" s="62"/>
      <c r="AN123" s="287"/>
      <c r="AO123" s="62"/>
      <c r="AP123" s="62"/>
      <c r="AQ123" s="62"/>
      <c r="AR123" s="109"/>
      <c r="AS123" s="8"/>
      <c r="AT123" s="64"/>
      <c r="AU123" s="64"/>
      <c r="AV123" s="64"/>
      <c r="AW123" s="64"/>
      <c r="AX123" s="64"/>
      <c r="AY123" s="8"/>
      <c r="AZ123" s="62"/>
    </row>
    <row r="124" spans="1:52" x14ac:dyDescent="0.35">
      <c r="A124" s="8"/>
      <c r="B124" s="8"/>
      <c r="C124" s="8"/>
      <c r="D124" s="8"/>
      <c r="E124" s="64"/>
      <c r="F124" s="64"/>
      <c r="G124" s="8"/>
      <c r="H124" s="65"/>
      <c r="I124" s="66"/>
      <c r="J124" s="67"/>
      <c r="K124" s="68"/>
      <c r="L124" s="69"/>
      <c r="M124" s="69"/>
      <c r="N124" s="69"/>
      <c r="O124" s="69"/>
      <c r="P124" s="69"/>
      <c r="Q124" s="69"/>
      <c r="R124" s="65"/>
      <c r="S124" s="64"/>
      <c r="T124" s="70"/>
      <c r="U124" s="71"/>
      <c r="V124" s="68"/>
      <c r="W124" s="72"/>
      <c r="X124" s="72"/>
      <c r="Y124" s="72"/>
      <c r="Z124" s="73"/>
      <c r="AA124" s="321"/>
      <c r="AB124" s="74"/>
      <c r="AC124" s="69"/>
      <c r="AD124" s="69"/>
      <c r="AE124" s="67"/>
      <c r="AF124" s="8"/>
      <c r="AG124" s="8"/>
      <c r="AH124" s="64"/>
      <c r="AI124" s="289"/>
      <c r="AJ124" s="109"/>
      <c r="AK124" s="109"/>
      <c r="AL124" s="286"/>
      <c r="AM124" s="62"/>
      <c r="AN124" s="287"/>
      <c r="AO124" s="62"/>
      <c r="AP124" s="62"/>
      <c r="AQ124" s="62"/>
      <c r="AR124" s="109"/>
      <c r="AS124" s="8"/>
      <c r="AT124" s="64"/>
      <c r="AU124" s="64"/>
      <c r="AV124" s="64"/>
      <c r="AW124" s="64"/>
      <c r="AX124" s="64"/>
      <c r="AY124" s="8"/>
      <c r="AZ124" s="62"/>
    </row>
    <row r="125" spans="1:52" x14ac:dyDescent="0.35">
      <c r="A125" s="8"/>
      <c r="B125" s="8"/>
      <c r="C125" s="8"/>
      <c r="D125" s="8"/>
      <c r="E125" s="64"/>
      <c r="F125" s="64"/>
      <c r="G125" s="8"/>
      <c r="H125" s="65"/>
      <c r="I125" s="66"/>
      <c r="J125" s="67"/>
      <c r="K125" s="68"/>
      <c r="L125" s="69"/>
      <c r="M125" s="69"/>
      <c r="N125" s="69"/>
      <c r="O125" s="69"/>
      <c r="P125" s="69"/>
      <c r="Q125" s="69"/>
      <c r="R125" s="65"/>
      <c r="S125" s="64"/>
      <c r="T125" s="70"/>
      <c r="U125" s="71"/>
      <c r="V125" s="68"/>
      <c r="W125" s="72"/>
      <c r="X125" s="72"/>
      <c r="Y125" s="72"/>
      <c r="Z125" s="73"/>
      <c r="AA125" s="321"/>
      <c r="AB125" s="74"/>
      <c r="AC125" s="69"/>
      <c r="AD125" s="69"/>
      <c r="AE125" s="67"/>
      <c r="AF125" s="8"/>
      <c r="AG125" s="8"/>
      <c r="AH125" s="64"/>
      <c r="AI125" s="289"/>
      <c r="AJ125" s="109"/>
      <c r="AK125" s="109"/>
      <c r="AL125" s="286"/>
      <c r="AM125" s="62"/>
      <c r="AN125" s="287"/>
      <c r="AO125" s="62"/>
      <c r="AP125" s="62"/>
      <c r="AQ125" s="62"/>
      <c r="AR125" s="109"/>
      <c r="AS125" s="8"/>
      <c r="AT125" s="64"/>
      <c r="AU125" s="64"/>
      <c r="AV125" s="64"/>
      <c r="AW125" s="64"/>
      <c r="AX125" s="64"/>
      <c r="AY125" s="8"/>
      <c r="AZ125" s="62"/>
    </row>
    <row r="126" spans="1:52" x14ac:dyDescent="0.35">
      <c r="A126" s="8"/>
      <c r="B126" s="8"/>
      <c r="C126" s="8"/>
      <c r="D126" s="8"/>
      <c r="E126" s="64"/>
      <c r="F126" s="64"/>
      <c r="G126" s="8"/>
      <c r="H126" s="65"/>
      <c r="I126" s="66"/>
      <c r="J126" s="67"/>
      <c r="K126" s="68"/>
      <c r="L126" s="69"/>
      <c r="M126" s="69"/>
      <c r="N126" s="69"/>
      <c r="O126" s="69"/>
      <c r="P126" s="69"/>
      <c r="Q126" s="69"/>
      <c r="R126" s="65"/>
      <c r="S126" s="64"/>
      <c r="T126" s="70"/>
      <c r="U126" s="71"/>
      <c r="V126" s="68"/>
      <c r="W126" s="72"/>
      <c r="X126" s="72"/>
      <c r="Y126" s="72"/>
      <c r="Z126" s="73"/>
      <c r="AA126" s="321"/>
      <c r="AB126" s="74"/>
      <c r="AC126" s="69"/>
      <c r="AD126" s="69"/>
      <c r="AE126" s="67"/>
      <c r="AF126" s="8"/>
      <c r="AG126" s="8"/>
      <c r="AH126" s="64"/>
      <c r="AI126" s="289"/>
      <c r="AJ126" s="109"/>
      <c r="AK126" s="109"/>
      <c r="AL126" s="286"/>
      <c r="AM126" s="62"/>
      <c r="AN126" s="287"/>
      <c r="AO126" s="62"/>
      <c r="AP126" s="62"/>
      <c r="AQ126" s="62"/>
      <c r="AR126" s="109"/>
      <c r="AS126" s="8"/>
      <c r="AT126" s="64"/>
      <c r="AU126" s="64"/>
      <c r="AV126" s="64"/>
      <c r="AW126" s="64"/>
      <c r="AX126" s="64"/>
      <c r="AY126" s="8"/>
      <c r="AZ126" s="62"/>
    </row>
    <row r="127" spans="1:52" x14ac:dyDescent="0.35">
      <c r="A127" s="8"/>
      <c r="B127" s="8"/>
      <c r="C127" s="8"/>
      <c r="D127" s="8"/>
      <c r="E127" s="64"/>
      <c r="F127" s="64"/>
      <c r="G127" s="8"/>
      <c r="H127" s="65"/>
      <c r="I127" s="66"/>
      <c r="J127" s="67"/>
      <c r="K127" s="68"/>
      <c r="L127" s="69"/>
      <c r="M127" s="69"/>
      <c r="N127" s="69"/>
      <c r="O127" s="69"/>
      <c r="P127" s="69"/>
      <c r="Q127" s="69"/>
      <c r="R127" s="65"/>
      <c r="S127" s="64"/>
      <c r="T127" s="70"/>
      <c r="U127" s="71"/>
      <c r="V127" s="68"/>
      <c r="W127" s="72"/>
      <c r="X127" s="72"/>
      <c r="Y127" s="72"/>
      <c r="Z127" s="73"/>
      <c r="AA127" s="321"/>
      <c r="AB127" s="74"/>
      <c r="AC127" s="69"/>
      <c r="AD127" s="69"/>
      <c r="AE127" s="67"/>
      <c r="AF127" s="8"/>
      <c r="AG127" s="8"/>
      <c r="AH127" s="64"/>
      <c r="AI127" s="289"/>
      <c r="AJ127" s="109"/>
      <c r="AK127" s="109"/>
      <c r="AL127" s="286"/>
      <c r="AM127" s="62"/>
      <c r="AN127" s="287"/>
      <c r="AO127" s="62"/>
      <c r="AP127" s="62"/>
      <c r="AQ127" s="62"/>
      <c r="AR127" s="109"/>
      <c r="AS127" s="8"/>
      <c r="AT127" s="64"/>
      <c r="AU127" s="64"/>
      <c r="AV127" s="64"/>
      <c r="AW127" s="64"/>
      <c r="AX127" s="64"/>
      <c r="AY127" s="8"/>
      <c r="AZ127" s="62"/>
    </row>
    <row r="128" spans="1:52" x14ac:dyDescent="0.35">
      <c r="A128" s="8"/>
      <c r="B128" s="8"/>
      <c r="C128" s="8"/>
      <c r="D128" s="8"/>
      <c r="E128" s="64"/>
      <c r="F128" s="64"/>
      <c r="G128" s="8"/>
      <c r="H128" s="65"/>
      <c r="I128" s="66"/>
      <c r="J128" s="67"/>
      <c r="K128" s="68"/>
      <c r="L128" s="69"/>
      <c r="M128" s="69"/>
      <c r="N128" s="69"/>
      <c r="O128" s="69"/>
      <c r="P128" s="69"/>
      <c r="Q128" s="69"/>
      <c r="R128" s="65"/>
      <c r="S128" s="64"/>
      <c r="T128" s="70"/>
      <c r="U128" s="71"/>
      <c r="V128" s="68"/>
      <c r="W128" s="72"/>
      <c r="X128" s="72"/>
      <c r="Y128" s="72"/>
      <c r="Z128" s="73"/>
      <c r="AA128" s="321"/>
      <c r="AB128" s="74"/>
      <c r="AC128" s="69"/>
      <c r="AD128" s="69"/>
      <c r="AE128" s="67"/>
      <c r="AF128" s="8"/>
      <c r="AG128" s="8"/>
      <c r="AH128" s="64"/>
      <c r="AI128" s="289"/>
      <c r="AJ128" s="109"/>
      <c r="AK128" s="109"/>
      <c r="AL128" s="286"/>
      <c r="AM128" s="62"/>
      <c r="AN128" s="287"/>
      <c r="AO128" s="62"/>
      <c r="AP128" s="62"/>
      <c r="AQ128" s="62"/>
      <c r="AR128" s="109"/>
      <c r="AS128" s="8"/>
      <c r="AT128" s="64"/>
      <c r="AU128" s="64"/>
      <c r="AV128" s="64"/>
      <c r="AW128" s="64"/>
      <c r="AX128" s="64"/>
      <c r="AY128" s="8"/>
      <c r="AZ128" s="62"/>
    </row>
    <row r="129" spans="1:52" x14ac:dyDescent="0.35">
      <c r="A129" s="8"/>
      <c r="B129" s="8"/>
      <c r="C129" s="8"/>
      <c r="D129" s="8"/>
      <c r="E129" s="64"/>
      <c r="F129" s="64"/>
      <c r="G129" s="8"/>
      <c r="H129" s="65"/>
      <c r="I129" s="66"/>
      <c r="J129" s="67"/>
      <c r="K129" s="68"/>
      <c r="L129" s="69"/>
      <c r="M129" s="69"/>
      <c r="N129" s="69"/>
      <c r="O129" s="69"/>
      <c r="P129" s="69"/>
      <c r="Q129" s="69"/>
      <c r="R129" s="65"/>
      <c r="S129" s="64"/>
      <c r="T129" s="70"/>
      <c r="U129" s="71"/>
      <c r="V129" s="68"/>
      <c r="W129" s="72"/>
      <c r="X129" s="72"/>
      <c r="Y129" s="72"/>
      <c r="Z129" s="73"/>
      <c r="AA129" s="321"/>
      <c r="AB129" s="74"/>
      <c r="AC129" s="69"/>
      <c r="AD129" s="69"/>
      <c r="AE129" s="67"/>
      <c r="AF129" s="8"/>
      <c r="AG129" s="8"/>
      <c r="AH129" s="64"/>
      <c r="AI129" s="289"/>
      <c r="AJ129" s="109"/>
      <c r="AK129" s="109"/>
      <c r="AL129" s="286"/>
      <c r="AM129" s="62"/>
      <c r="AN129" s="287"/>
      <c r="AO129" s="62"/>
      <c r="AP129" s="62"/>
      <c r="AQ129" s="62"/>
      <c r="AR129" s="109"/>
      <c r="AS129" s="8"/>
      <c r="AT129" s="64"/>
      <c r="AU129" s="64"/>
      <c r="AV129" s="64"/>
      <c r="AW129" s="64"/>
      <c r="AX129" s="64"/>
      <c r="AY129" s="8"/>
      <c r="AZ129" s="62"/>
    </row>
    <row r="130" spans="1:52" x14ac:dyDescent="0.35">
      <c r="A130" s="8"/>
      <c r="B130" s="8"/>
      <c r="C130" s="8"/>
      <c r="D130" s="8"/>
      <c r="E130" s="64"/>
      <c r="F130" s="64"/>
      <c r="G130" s="8"/>
      <c r="H130" s="65"/>
      <c r="I130" s="66"/>
      <c r="J130" s="67"/>
      <c r="K130" s="68"/>
      <c r="L130" s="69"/>
      <c r="M130" s="69"/>
      <c r="N130" s="69"/>
      <c r="O130" s="69"/>
      <c r="P130" s="69"/>
      <c r="Q130" s="69"/>
      <c r="R130" s="65"/>
      <c r="S130" s="64"/>
      <c r="T130" s="70"/>
      <c r="U130" s="71"/>
      <c r="V130" s="68"/>
      <c r="W130" s="72"/>
      <c r="X130" s="72"/>
      <c r="Y130" s="72"/>
      <c r="Z130" s="73"/>
      <c r="AA130" s="321"/>
      <c r="AB130" s="74"/>
      <c r="AC130" s="69"/>
      <c r="AD130" s="69"/>
      <c r="AE130" s="67"/>
      <c r="AF130" s="8"/>
      <c r="AG130" s="8"/>
      <c r="AH130" s="64"/>
      <c r="AI130" s="289"/>
      <c r="AJ130" s="109"/>
      <c r="AK130" s="109"/>
      <c r="AL130" s="286"/>
      <c r="AM130" s="62"/>
      <c r="AN130" s="287"/>
      <c r="AO130" s="62"/>
      <c r="AP130" s="62"/>
      <c r="AQ130" s="62"/>
      <c r="AR130" s="109"/>
      <c r="AS130" s="8"/>
      <c r="AT130" s="64"/>
      <c r="AU130" s="64"/>
      <c r="AV130" s="64"/>
      <c r="AW130" s="64"/>
      <c r="AX130" s="64"/>
      <c r="AY130" s="8"/>
      <c r="AZ130" s="62"/>
    </row>
    <row r="131" spans="1:52" x14ac:dyDescent="0.35">
      <c r="A131" s="8"/>
      <c r="B131" s="8"/>
      <c r="C131" s="8"/>
      <c r="D131" s="8"/>
      <c r="E131" s="64"/>
      <c r="F131" s="64"/>
      <c r="G131" s="8"/>
      <c r="H131" s="65"/>
      <c r="I131" s="66"/>
      <c r="J131" s="67"/>
      <c r="K131" s="68"/>
      <c r="L131" s="69"/>
      <c r="M131" s="69"/>
      <c r="N131" s="69"/>
      <c r="O131" s="69"/>
      <c r="P131" s="69"/>
      <c r="Q131" s="69"/>
      <c r="R131" s="65"/>
      <c r="S131" s="64"/>
      <c r="T131" s="70"/>
      <c r="U131" s="71"/>
      <c r="V131" s="68"/>
      <c r="W131" s="72"/>
      <c r="X131" s="72"/>
      <c r="Y131" s="72"/>
      <c r="Z131" s="73"/>
      <c r="AA131" s="321"/>
      <c r="AB131" s="74"/>
      <c r="AC131" s="69"/>
      <c r="AD131" s="69"/>
      <c r="AE131" s="67"/>
      <c r="AF131" s="8"/>
      <c r="AG131" s="8"/>
      <c r="AH131" s="64"/>
      <c r="AI131" s="289"/>
      <c r="AJ131" s="109"/>
      <c r="AK131" s="109"/>
      <c r="AL131" s="286"/>
      <c r="AM131" s="62"/>
      <c r="AN131" s="287"/>
      <c r="AO131" s="62"/>
      <c r="AP131" s="62"/>
      <c r="AQ131" s="62"/>
      <c r="AR131" s="109"/>
      <c r="AS131" s="8"/>
      <c r="AT131" s="64"/>
      <c r="AU131" s="64"/>
      <c r="AV131" s="64"/>
      <c r="AW131" s="64"/>
      <c r="AX131" s="64"/>
      <c r="AY131" s="8"/>
      <c r="AZ131" s="62"/>
    </row>
    <row r="132" spans="1:52" x14ac:dyDescent="0.35">
      <c r="A132" s="8"/>
      <c r="B132" s="8"/>
      <c r="C132" s="8"/>
      <c r="D132" s="8"/>
      <c r="E132" s="64"/>
      <c r="F132" s="64"/>
      <c r="G132" s="8"/>
      <c r="H132" s="65"/>
      <c r="I132" s="66"/>
      <c r="J132" s="67"/>
      <c r="K132" s="68"/>
      <c r="L132" s="69"/>
      <c r="M132" s="69"/>
      <c r="N132" s="69"/>
      <c r="O132" s="69"/>
      <c r="P132" s="69"/>
      <c r="Q132" s="69"/>
      <c r="R132" s="65"/>
      <c r="S132" s="64"/>
      <c r="T132" s="70"/>
      <c r="U132" s="71"/>
      <c r="V132" s="68"/>
      <c r="W132" s="72"/>
      <c r="X132" s="72"/>
      <c r="Y132" s="72"/>
      <c r="Z132" s="73"/>
      <c r="AA132" s="321"/>
      <c r="AB132" s="74"/>
      <c r="AC132" s="69"/>
      <c r="AD132" s="69"/>
      <c r="AE132" s="67"/>
      <c r="AF132" s="8"/>
      <c r="AG132" s="8"/>
      <c r="AH132" s="64"/>
      <c r="AI132" s="289"/>
      <c r="AJ132" s="109"/>
      <c r="AK132" s="109"/>
      <c r="AL132" s="286"/>
      <c r="AM132" s="62"/>
      <c r="AN132" s="287"/>
      <c r="AO132" s="62"/>
      <c r="AP132" s="62"/>
      <c r="AQ132" s="62"/>
      <c r="AR132" s="109"/>
      <c r="AS132" s="8"/>
      <c r="AT132" s="64"/>
      <c r="AU132" s="64"/>
      <c r="AV132" s="64"/>
      <c r="AW132" s="64"/>
      <c r="AX132" s="64"/>
      <c r="AY132" s="8"/>
      <c r="AZ132" s="62"/>
    </row>
    <row r="133" spans="1:52" x14ac:dyDescent="0.35">
      <c r="A133" s="8"/>
      <c r="B133" s="8"/>
      <c r="C133" s="8"/>
      <c r="D133" s="8"/>
      <c r="E133" s="64"/>
      <c r="F133" s="64"/>
      <c r="G133" s="8"/>
      <c r="H133" s="65"/>
      <c r="I133" s="66"/>
      <c r="J133" s="67"/>
      <c r="K133" s="68"/>
      <c r="L133" s="69"/>
      <c r="M133" s="69"/>
      <c r="N133" s="69"/>
      <c r="O133" s="69"/>
      <c r="P133" s="69"/>
      <c r="Q133" s="69"/>
      <c r="R133" s="65"/>
      <c r="S133" s="64"/>
      <c r="T133" s="70"/>
      <c r="U133" s="71"/>
      <c r="V133" s="68"/>
      <c r="W133" s="72"/>
      <c r="X133" s="72"/>
      <c r="Y133" s="72"/>
      <c r="Z133" s="73"/>
      <c r="AA133" s="321"/>
      <c r="AB133" s="74"/>
      <c r="AC133" s="69"/>
      <c r="AD133" s="69"/>
      <c r="AE133" s="67"/>
      <c r="AF133" s="8"/>
      <c r="AG133" s="8"/>
      <c r="AH133" s="64"/>
      <c r="AI133" s="289"/>
      <c r="AJ133" s="109"/>
      <c r="AK133" s="109"/>
      <c r="AL133" s="286"/>
      <c r="AM133" s="62"/>
      <c r="AN133" s="287"/>
      <c r="AO133" s="62"/>
      <c r="AP133" s="62"/>
      <c r="AQ133" s="62"/>
      <c r="AR133" s="109"/>
      <c r="AS133" s="8"/>
      <c r="AT133" s="64"/>
      <c r="AU133" s="64"/>
      <c r="AV133" s="64"/>
      <c r="AW133" s="64"/>
      <c r="AX133" s="64"/>
      <c r="AY133" s="8"/>
      <c r="AZ133" s="62"/>
    </row>
    <row r="134" spans="1:52" x14ac:dyDescent="0.35">
      <c r="A134" s="8"/>
      <c r="B134" s="8"/>
      <c r="C134" s="8"/>
      <c r="D134" s="8"/>
      <c r="E134" s="64"/>
      <c r="F134" s="64"/>
      <c r="G134" s="8"/>
      <c r="H134" s="65"/>
      <c r="I134" s="66"/>
      <c r="J134" s="67"/>
      <c r="K134" s="68"/>
      <c r="L134" s="69"/>
      <c r="M134" s="69"/>
      <c r="N134" s="69"/>
      <c r="O134" s="69"/>
      <c r="P134" s="69"/>
      <c r="Q134" s="69"/>
      <c r="R134" s="65"/>
      <c r="S134" s="64"/>
      <c r="T134" s="70"/>
      <c r="U134" s="71"/>
      <c r="V134" s="68"/>
      <c r="W134" s="72"/>
      <c r="X134" s="72"/>
      <c r="Y134" s="72"/>
      <c r="Z134" s="73"/>
      <c r="AA134" s="321"/>
      <c r="AB134" s="74"/>
      <c r="AC134" s="69"/>
      <c r="AD134" s="69"/>
      <c r="AE134" s="67"/>
      <c r="AF134" s="8"/>
      <c r="AG134" s="8"/>
      <c r="AH134" s="64"/>
      <c r="AI134" s="289"/>
      <c r="AJ134" s="109"/>
      <c r="AK134" s="109"/>
      <c r="AL134" s="286"/>
      <c r="AM134" s="62"/>
      <c r="AN134" s="287"/>
      <c r="AO134" s="62"/>
      <c r="AP134" s="62"/>
      <c r="AQ134" s="62"/>
      <c r="AR134" s="109"/>
      <c r="AS134" s="8"/>
      <c r="AT134" s="64"/>
      <c r="AU134" s="64"/>
      <c r="AV134" s="64"/>
      <c r="AW134" s="64"/>
      <c r="AX134" s="64"/>
      <c r="AY134" s="8"/>
      <c r="AZ134" s="62"/>
    </row>
    <row r="135" spans="1:52" x14ac:dyDescent="0.35">
      <c r="A135" s="8"/>
      <c r="B135" s="8"/>
      <c r="C135" s="8"/>
      <c r="D135" s="8"/>
      <c r="E135" s="64"/>
      <c r="F135" s="64"/>
      <c r="G135" s="8"/>
      <c r="H135" s="65"/>
      <c r="I135" s="66"/>
      <c r="J135" s="67"/>
      <c r="K135" s="68"/>
      <c r="L135" s="69"/>
      <c r="M135" s="69"/>
      <c r="N135" s="69"/>
      <c r="O135" s="69"/>
      <c r="P135" s="69"/>
      <c r="Q135" s="69"/>
      <c r="R135" s="65"/>
      <c r="S135" s="64"/>
      <c r="T135" s="70"/>
      <c r="U135" s="71"/>
      <c r="V135" s="68"/>
      <c r="W135" s="72"/>
      <c r="X135" s="72"/>
      <c r="Y135" s="72"/>
      <c r="Z135" s="73"/>
      <c r="AA135" s="321"/>
      <c r="AB135" s="74"/>
      <c r="AC135" s="69"/>
      <c r="AD135" s="69"/>
      <c r="AE135" s="67"/>
      <c r="AF135" s="8"/>
      <c r="AG135" s="8"/>
      <c r="AH135" s="64"/>
      <c r="AI135" s="289"/>
      <c r="AJ135" s="109"/>
      <c r="AK135" s="109"/>
      <c r="AL135" s="286"/>
      <c r="AM135" s="62"/>
      <c r="AN135" s="287"/>
      <c r="AO135" s="62"/>
      <c r="AP135" s="62"/>
      <c r="AQ135" s="62"/>
      <c r="AR135" s="109"/>
      <c r="AS135" s="8"/>
      <c r="AT135" s="64"/>
      <c r="AU135" s="64"/>
      <c r="AV135" s="64"/>
      <c r="AW135" s="64"/>
      <c r="AX135" s="64"/>
      <c r="AY135" s="8"/>
      <c r="AZ135" s="62"/>
    </row>
    <row r="136" spans="1:52" x14ac:dyDescent="0.35">
      <c r="A136" s="8"/>
      <c r="B136" s="8"/>
      <c r="C136" s="8"/>
      <c r="D136" s="8"/>
      <c r="E136" s="64"/>
      <c r="F136" s="64"/>
      <c r="G136" s="8"/>
      <c r="H136" s="65"/>
      <c r="I136" s="66"/>
      <c r="J136" s="67"/>
      <c r="K136" s="68"/>
      <c r="L136" s="69"/>
      <c r="M136" s="69"/>
      <c r="N136" s="69"/>
      <c r="O136" s="69"/>
      <c r="P136" s="69"/>
      <c r="Q136" s="69"/>
      <c r="R136" s="65"/>
      <c r="S136" s="64"/>
      <c r="T136" s="70"/>
      <c r="U136" s="71"/>
      <c r="V136" s="68"/>
      <c r="W136" s="72"/>
      <c r="X136" s="72"/>
      <c r="Y136" s="72"/>
      <c r="Z136" s="73"/>
      <c r="AA136" s="321"/>
      <c r="AB136" s="74"/>
      <c r="AC136" s="69"/>
      <c r="AD136" s="69"/>
      <c r="AE136" s="67"/>
      <c r="AF136" s="8"/>
      <c r="AG136" s="8"/>
      <c r="AH136" s="64"/>
      <c r="AI136" s="289"/>
      <c r="AJ136" s="109"/>
      <c r="AK136" s="109"/>
      <c r="AL136" s="286"/>
      <c r="AM136" s="62"/>
      <c r="AN136" s="287"/>
      <c r="AO136" s="62"/>
      <c r="AP136" s="62"/>
      <c r="AQ136" s="62"/>
      <c r="AR136" s="109"/>
      <c r="AS136" s="8"/>
      <c r="AT136" s="64"/>
      <c r="AU136" s="64"/>
      <c r="AV136" s="64"/>
      <c r="AW136" s="64"/>
      <c r="AX136" s="64"/>
      <c r="AY136" s="8"/>
      <c r="AZ136" s="62"/>
    </row>
    <row r="137" spans="1:52" x14ac:dyDescent="0.35">
      <c r="A137" s="8"/>
      <c r="B137" s="8"/>
      <c r="C137" s="8"/>
      <c r="D137" s="8"/>
      <c r="E137" s="64"/>
      <c r="F137" s="64"/>
      <c r="G137" s="8"/>
      <c r="H137" s="65"/>
      <c r="I137" s="66"/>
      <c r="J137" s="67"/>
      <c r="K137" s="68"/>
      <c r="L137" s="69"/>
      <c r="M137" s="69"/>
      <c r="N137" s="69"/>
      <c r="O137" s="69"/>
      <c r="P137" s="69"/>
      <c r="Q137" s="69"/>
      <c r="R137" s="65"/>
      <c r="S137" s="64"/>
      <c r="T137" s="70"/>
      <c r="U137" s="71"/>
      <c r="V137" s="68"/>
      <c r="W137" s="72"/>
      <c r="X137" s="72"/>
      <c r="Y137" s="72"/>
      <c r="Z137" s="73"/>
      <c r="AA137" s="321"/>
      <c r="AB137" s="74"/>
      <c r="AC137" s="69"/>
      <c r="AD137" s="69"/>
      <c r="AE137" s="67"/>
      <c r="AF137" s="8"/>
      <c r="AG137" s="8"/>
      <c r="AH137" s="64"/>
      <c r="AI137" s="289"/>
      <c r="AJ137" s="109"/>
      <c r="AK137" s="109"/>
      <c r="AL137" s="286"/>
      <c r="AM137" s="62"/>
      <c r="AN137" s="287"/>
      <c r="AO137" s="62"/>
      <c r="AP137" s="62"/>
      <c r="AQ137" s="62"/>
      <c r="AR137" s="109"/>
      <c r="AS137" s="8"/>
      <c r="AT137" s="64"/>
      <c r="AU137" s="64"/>
      <c r="AV137" s="64"/>
      <c r="AW137" s="64"/>
      <c r="AX137" s="64"/>
      <c r="AY137" s="8"/>
      <c r="AZ137" s="62"/>
    </row>
    <row r="138" spans="1:52" x14ac:dyDescent="0.35">
      <c r="A138" s="8"/>
      <c r="B138" s="8"/>
      <c r="C138" s="8"/>
      <c r="D138" s="8"/>
      <c r="E138" s="64"/>
      <c r="F138" s="64"/>
      <c r="G138" s="8"/>
      <c r="H138" s="65"/>
      <c r="I138" s="66"/>
      <c r="J138" s="67"/>
      <c r="K138" s="68"/>
      <c r="L138" s="69"/>
      <c r="M138" s="69"/>
      <c r="N138" s="69"/>
      <c r="O138" s="69"/>
      <c r="P138" s="69"/>
      <c r="Q138" s="69"/>
      <c r="R138" s="65"/>
      <c r="S138" s="64"/>
      <c r="T138" s="70"/>
      <c r="U138" s="71"/>
      <c r="V138" s="68"/>
      <c r="W138" s="72"/>
      <c r="X138" s="72"/>
      <c r="Y138" s="72"/>
      <c r="Z138" s="73"/>
      <c r="AA138" s="321"/>
      <c r="AB138" s="74"/>
      <c r="AC138" s="69"/>
      <c r="AD138" s="69"/>
      <c r="AE138" s="67"/>
      <c r="AF138" s="8"/>
      <c r="AG138" s="8"/>
      <c r="AH138" s="64"/>
      <c r="AI138" s="289"/>
      <c r="AJ138" s="109"/>
      <c r="AK138" s="109"/>
      <c r="AL138" s="286"/>
      <c r="AM138" s="62"/>
      <c r="AN138" s="287"/>
      <c r="AO138" s="62"/>
      <c r="AP138" s="62"/>
      <c r="AQ138" s="62"/>
      <c r="AR138" s="109"/>
      <c r="AS138" s="8"/>
      <c r="AT138" s="64"/>
      <c r="AU138" s="64"/>
      <c r="AV138" s="64"/>
      <c r="AW138" s="64"/>
      <c r="AX138" s="64"/>
      <c r="AY138" s="8"/>
      <c r="AZ138" s="62"/>
    </row>
    <row r="139" spans="1:52" x14ac:dyDescent="0.35">
      <c r="A139" s="8"/>
      <c r="B139" s="8"/>
      <c r="C139" s="8"/>
      <c r="D139" s="8"/>
      <c r="E139" s="64"/>
      <c r="F139" s="64"/>
      <c r="G139" s="8"/>
      <c r="H139" s="65"/>
      <c r="I139" s="66"/>
      <c r="J139" s="67"/>
      <c r="K139" s="68"/>
      <c r="L139" s="69"/>
      <c r="M139" s="69"/>
      <c r="N139" s="69"/>
      <c r="O139" s="69"/>
      <c r="P139" s="69"/>
      <c r="Q139" s="69"/>
      <c r="R139" s="65"/>
      <c r="S139" s="64"/>
      <c r="T139" s="70"/>
      <c r="U139" s="71"/>
      <c r="V139" s="68"/>
      <c r="W139" s="72"/>
      <c r="X139" s="72"/>
      <c r="Y139" s="72"/>
      <c r="Z139" s="73"/>
      <c r="AA139" s="321"/>
      <c r="AB139" s="74"/>
      <c r="AC139" s="69"/>
      <c r="AD139" s="69"/>
      <c r="AE139" s="67"/>
      <c r="AF139" s="8"/>
      <c r="AG139" s="8"/>
      <c r="AH139" s="64"/>
      <c r="AI139" s="289"/>
      <c r="AJ139" s="109"/>
      <c r="AK139" s="109"/>
      <c r="AL139" s="286"/>
      <c r="AM139" s="62"/>
      <c r="AN139" s="287"/>
      <c r="AO139" s="62"/>
      <c r="AP139" s="62"/>
      <c r="AQ139" s="62"/>
      <c r="AR139" s="109"/>
      <c r="AS139" s="8"/>
      <c r="AT139" s="64"/>
      <c r="AU139" s="64"/>
      <c r="AV139" s="64"/>
      <c r="AW139" s="64"/>
      <c r="AX139" s="64"/>
      <c r="AY139" s="8"/>
      <c r="AZ139" s="62"/>
    </row>
    <row r="140" spans="1:52" x14ac:dyDescent="0.35">
      <c r="A140" s="8"/>
      <c r="B140" s="8"/>
      <c r="C140" s="8"/>
      <c r="D140" s="8"/>
      <c r="E140" s="64"/>
      <c r="F140" s="64"/>
      <c r="G140" s="8"/>
      <c r="H140" s="65"/>
      <c r="I140" s="66"/>
      <c r="J140" s="67"/>
      <c r="K140" s="68"/>
      <c r="L140" s="69"/>
      <c r="M140" s="69"/>
      <c r="N140" s="69"/>
      <c r="O140" s="69"/>
      <c r="P140" s="69"/>
      <c r="Q140" s="69"/>
      <c r="R140" s="65"/>
      <c r="S140" s="64"/>
      <c r="T140" s="70"/>
      <c r="U140" s="71"/>
      <c r="V140" s="68"/>
      <c r="W140" s="72"/>
      <c r="X140" s="72"/>
      <c r="Y140" s="72"/>
      <c r="Z140" s="73"/>
      <c r="AA140" s="321"/>
      <c r="AB140" s="74"/>
      <c r="AC140" s="69"/>
      <c r="AD140" s="69"/>
      <c r="AE140" s="67"/>
      <c r="AF140" s="8"/>
      <c r="AG140" s="8"/>
      <c r="AH140" s="64"/>
      <c r="AI140" s="289"/>
      <c r="AJ140" s="109"/>
      <c r="AK140" s="109"/>
      <c r="AL140" s="286"/>
      <c r="AM140" s="62"/>
      <c r="AN140" s="287"/>
      <c r="AO140" s="62"/>
      <c r="AP140" s="62"/>
      <c r="AQ140" s="62"/>
      <c r="AR140" s="109"/>
      <c r="AS140" s="8"/>
      <c r="AT140" s="64"/>
      <c r="AU140" s="64"/>
      <c r="AV140" s="64"/>
      <c r="AW140" s="64"/>
      <c r="AX140" s="64"/>
      <c r="AY140" s="8"/>
      <c r="AZ140" s="62"/>
    </row>
    <row r="141" spans="1:52" x14ac:dyDescent="0.35">
      <c r="A141" s="8"/>
      <c r="B141" s="8"/>
      <c r="C141" s="8"/>
      <c r="D141" s="8"/>
      <c r="E141" s="64"/>
      <c r="F141" s="64"/>
      <c r="G141" s="8"/>
      <c r="H141" s="65"/>
      <c r="I141" s="66"/>
      <c r="J141" s="67"/>
      <c r="K141" s="68"/>
      <c r="L141" s="69"/>
      <c r="M141" s="69"/>
      <c r="N141" s="69"/>
      <c r="O141" s="69"/>
      <c r="P141" s="69"/>
      <c r="Q141" s="69"/>
      <c r="R141" s="65"/>
      <c r="S141" s="64"/>
      <c r="T141" s="70"/>
      <c r="U141" s="71"/>
      <c r="V141" s="68"/>
      <c r="W141" s="72"/>
      <c r="X141" s="72"/>
      <c r="Y141" s="72"/>
      <c r="Z141" s="73"/>
      <c r="AA141" s="321"/>
      <c r="AB141" s="74"/>
      <c r="AC141" s="69"/>
      <c r="AD141" s="69"/>
      <c r="AE141" s="67"/>
      <c r="AF141" s="8"/>
      <c r="AG141" s="8"/>
      <c r="AH141" s="64"/>
      <c r="AI141" s="289"/>
      <c r="AJ141" s="109"/>
      <c r="AK141" s="109"/>
      <c r="AL141" s="286"/>
      <c r="AM141" s="62"/>
      <c r="AN141" s="287"/>
      <c r="AO141" s="62"/>
      <c r="AP141" s="62"/>
      <c r="AQ141" s="62"/>
      <c r="AR141" s="109"/>
      <c r="AS141" s="8"/>
      <c r="AT141" s="64"/>
      <c r="AU141" s="64"/>
      <c r="AV141" s="64"/>
      <c r="AW141" s="64"/>
      <c r="AX141" s="64"/>
      <c r="AY141" s="8"/>
      <c r="AZ141" s="62"/>
    </row>
    <row r="142" spans="1:52" x14ac:dyDescent="0.35">
      <c r="A142" s="8"/>
      <c r="B142" s="8"/>
      <c r="C142" s="8"/>
      <c r="D142" s="8"/>
      <c r="E142" s="64"/>
      <c r="F142" s="64"/>
      <c r="G142" s="8"/>
      <c r="H142" s="65"/>
      <c r="I142" s="66"/>
      <c r="J142" s="67"/>
      <c r="K142" s="68"/>
      <c r="L142" s="69"/>
      <c r="M142" s="69"/>
      <c r="N142" s="69"/>
      <c r="O142" s="69"/>
      <c r="P142" s="69"/>
      <c r="Q142" s="69"/>
      <c r="R142" s="65"/>
      <c r="S142" s="64"/>
      <c r="T142" s="70"/>
      <c r="U142" s="71"/>
      <c r="V142" s="68"/>
      <c r="W142" s="72"/>
      <c r="X142" s="72"/>
      <c r="Y142" s="72"/>
      <c r="Z142" s="73"/>
      <c r="AA142" s="321"/>
      <c r="AB142" s="74"/>
      <c r="AC142" s="69"/>
      <c r="AD142" s="69"/>
      <c r="AE142" s="67"/>
      <c r="AF142" s="8"/>
      <c r="AG142" s="8"/>
      <c r="AH142" s="64"/>
      <c r="AI142" s="289"/>
      <c r="AJ142" s="109"/>
      <c r="AK142" s="109"/>
      <c r="AL142" s="286"/>
      <c r="AM142" s="62"/>
      <c r="AN142" s="287"/>
      <c r="AO142" s="62"/>
      <c r="AP142" s="62"/>
      <c r="AQ142" s="62"/>
      <c r="AR142" s="109"/>
      <c r="AS142" s="8"/>
      <c r="AT142" s="64"/>
      <c r="AU142" s="64"/>
      <c r="AV142" s="64"/>
      <c r="AW142" s="64"/>
      <c r="AX142" s="64"/>
      <c r="AY142" s="8"/>
      <c r="AZ142" s="62"/>
    </row>
    <row r="143" spans="1:52" x14ac:dyDescent="0.35">
      <c r="A143" s="8"/>
      <c r="B143" s="8"/>
      <c r="C143" s="8"/>
      <c r="D143" s="8"/>
      <c r="E143" s="64"/>
      <c r="F143" s="64"/>
      <c r="G143" s="8"/>
      <c r="H143" s="65"/>
      <c r="I143" s="66"/>
      <c r="J143" s="67"/>
      <c r="K143" s="68"/>
      <c r="L143" s="69"/>
      <c r="M143" s="69"/>
      <c r="N143" s="69"/>
      <c r="O143" s="69"/>
      <c r="P143" s="69"/>
      <c r="Q143" s="69"/>
      <c r="R143" s="65"/>
      <c r="S143" s="64"/>
      <c r="T143" s="70"/>
      <c r="U143" s="71"/>
      <c r="V143" s="68"/>
      <c r="W143" s="72"/>
      <c r="X143" s="72"/>
      <c r="Y143" s="72"/>
      <c r="Z143" s="73"/>
      <c r="AA143" s="321"/>
      <c r="AB143" s="74"/>
      <c r="AC143" s="69"/>
      <c r="AD143" s="69"/>
      <c r="AE143" s="67"/>
      <c r="AF143" s="8"/>
      <c r="AG143" s="8"/>
      <c r="AH143" s="64"/>
      <c r="AI143" s="289"/>
      <c r="AJ143" s="109"/>
      <c r="AK143" s="109"/>
      <c r="AL143" s="286"/>
      <c r="AM143" s="62"/>
      <c r="AN143" s="287"/>
      <c r="AO143" s="62"/>
      <c r="AP143" s="62"/>
      <c r="AQ143" s="62"/>
      <c r="AR143" s="109"/>
      <c r="AS143" s="8"/>
      <c r="AT143" s="64"/>
      <c r="AU143" s="64"/>
      <c r="AV143" s="64"/>
      <c r="AW143" s="64"/>
      <c r="AX143" s="64"/>
      <c r="AY143" s="8"/>
      <c r="AZ143" s="62"/>
    </row>
    <row r="144" spans="1:52" x14ac:dyDescent="0.35">
      <c r="A144" s="8"/>
      <c r="B144" s="8"/>
      <c r="C144" s="8"/>
      <c r="D144" s="8"/>
      <c r="E144" s="64"/>
      <c r="F144" s="64"/>
      <c r="G144" s="8"/>
      <c r="H144" s="65"/>
      <c r="I144" s="66"/>
      <c r="J144" s="67"/>
      <c r="K144" s="68"/>
      <c r="L144" s="69"/>
      <c r="M144" s="69"/>
      <c r="N144" s="69"/>
      <c r="O144" s="69"/>
      <c r="P144" s="69"/>
      <c r="Q144" s="69"/>
      <c r="R144" s="65"/>
      <c r="S144" s="64"/>
      <c r="T144" s="70"/>
      <c r="U144" s="71"/>
      <c r="V144" s="68"/>
      <c r="W144" s="72"/>
      <c r="X144" s="72"/>
      <c r="Y144" s="72"/>
      <c r="Z144" s="73"/>
      <c r="AA144" s="321"/>
      <c r="AB144" s="74"/>
      <c r="AC144" s="69"/>
      <c r="AD144" s="69"/>
      <c r="AE144" s="67"/>
      <c r="AF144" s="8"/>
      <c r="AG144" s="8"/>
      <c r="AH144" s="64"/>
      <c r="AI144" s="289"/>
      <c r="AJ144" s="109"/>
      <c r="AK144" s="109"/>
      <c r="AL144" s="286"/>
      <c r="AM144" s="62"/>
      <c r="AN144" s="287"/>
      <c r="AO144" s="62"/>
      <c r="AP144" s="62"/>
      <c r="AQ144" s="62"/>
      <c r="AR144" s="109"/>
      <c r="AS144" s="8"/>
      <c r="AT144" s="64"/>
      <c r="AU144" s="64"/>
      <c r="AV144" s="64"/>
      <c r="AW144" s="64"/>
      <c r="AX144" s="64"/>
      <c r="AY144" s="8"/>
      <c r="AZ144" s="62"/>
    </row>
    <row r="145" spans="1:52" x14ac:dyDescent="0.35">
      <c r="A145" s="8"/>
      <c r="B145" s="8"/>
      <c r="C145" s="8"/>
      <c r="D145" s="8"/>
      <c r="E145" s="64"/>
      <c r="F145" s="64"/>
      <c r="G145" s="8"/>
      <c r="H145" s="65"/>
      <c r="I145" s="66"/>
      <c r="J145" s="67"/>
      <c r="K145" s="68"/>
      <c r="L145" s="69"/>
      <c r="M145" s="69"/>
      <c r="N145" s="69"/>
      <c r="O145" s="69"/>
      <c r="P145" s="69"/>
      <c r="Q145" s="69"/>
      <c r="R145" s="65"/>
      <c r="S145" s="64"/>
      <c r="T145" s="70"/>
      <c r="U145" s="71"/>
      <c r="V145" s="68"/>
      <c r="W145" s="72"/>
      <c r="X145" s="72"/>
      <c r="Y145" s="72"/>
      <c r="Z145" s="73"/>
      <c r="AA145" s="321"/>
      <c r="AB145" s="74"/>
      <c r="AC145" s="69"/>
      <c r="AD145" s="69"/>
      <c r="AE145" s="67"/>
      <c r="AF145" s="8"/>
      <c r="AG145" s="8"/>
      <c r="AH145" s="64"/>
      <c r="AI145" s="289"/>
      <c r="AJ145" s="109"/>
      <c r="AK145" s="109"/>
      <c r="AL145" s="286"/>
      <c r="AM145" s="62"/>
      <c r="AN145" s="287"/>
      <c r="AO145" s="62"/>
      <c r="AP145" s="62"/>
      <c r="AQ145" s="62"/>
      <c r="AR145" s="109"/>
      <c r="AS145" s="8"/>
      <c r="AT145" s="64"/>
      <c r="AU145" s="64"/>
      <c r="AV145" s="64"/>
      <c r="AW145" s="64"/>
      <c r="AX145" s="64"/>
      <c r="AY145" s="8"/>
      <c r="AZ145" s="62"/>
    </row>
    <row r="146" spans="1:52" x14ac:dyDescent="0.35">
      <c r="A146" s="8"/>
      <c r="B146" s="8"/>
      <c r="C146" s="8"/>
      <c r="D146" s="8"/>
      <c r="E146" s="64"/>
      <c r="F146" s="64"/>
      <c r="G146" s="8"/>
      <c r="H146" s="65"/>
      <c r="I146" s="66"/>
      <c r="J146" s="67"/>
      <c r="K146" s="68"/>
      <c r="L146" s="69"/>
      <c r="M146" s="69"/>
      <c r="N146" s="69"/>
      <c r="O146" s="69"/>
      <c r="P146" s="69"/>
      <c r="Q146" s="69"/>
      <c r="R146" s="65"/>
      <c r="S146" s="64"/>
      <c r="T146" s="70"/>
      <c r="U146" s="71"/>
      <c r="V146" s="68"/>
      <c r="W146" s="72"/>
      <c r="X146" s="72"/>
      <c r="Y146" s="72"/>
      <c r="Z146" s="73"/>
      <c r="AA146" s="321"/>
      <c r="AB146" s="74"/>
      <c r="AC146" s="69"/>
      <c r="AD146" s="69"/>
      <c r="AE146" s="67"/>
      <c r="AF146" s="8"/>
      <c r="AG146" s="8"/>
      <c r="AH146" s="64"/>
      <c r="AI146" s="289"/>
      <c r="AJ146" s="109"/>
      <c r="AK146" s="109"/>
      <c r="AL146" s="286"/>
      <c r="AM146" s="62"/>
      <c r="AN146" s="287"/>
      <c r="AO146" s="62"/>
      <c r="AP146" s="62"/>
      <c r="AQ146" s="62"/>
      <c r="AR146" s="109"/>
      <c r="AS146" s="8"/>
      <c r="AT146" s="64"/>
      <c r="AU146" s="64"/>
      <c r="AV146" s="64"/>
      <c r="AW146" s="64"/>
      <c r="AX146" s="64"/>
      <c r="AY146" s="8"/>
      <c r="AZ146" s="62"/>
    </row>
    <row r="147" spans="1:52" x14ac:dyDescent="0.35">
      <c r="A147" s="8"/>
      <c r="B147" s="8"/>
      <c r="C147" s="8"/>
      <c r="D147" s="8"/>
      <c r="E147" s="64"/>
      <c r="F147" s="64"/>
      <c r="G147" s="8"/>
      <c r="H147" s="65"/>
      <c r="I147" s="66"/>
      <c r="J147" s="67"/>
      <c r="K147" s="68"/>
      <c r="L147" s="69"/>
      <c r="M147" s="69"/>
      <c r="N147" s="69"/>
      <c r="O147" s="69"/>
      <c r="P147" s="69"/>
      <c r="Q147" s="69"/>
      <c r="R147" s="65"/>
      <c r="S147" s="64"/>
      <c r="T147" s="70"/>
      <c r="U147" s="71"/>
      <c r="V147" s="68"/>
      <c r="W147" s="72"/>
      <c r="X147" s="72"/>
      <c r="Y147" s="72"/>
      <c r="Z147" s="73"/>
      <c r="AA147" s="321"/>
      <c r="AB147" s="74"/>
      <c r="AC147" s="69"/>
      <c r="AD147" s="69"/>
      <c r="AE147" s="67"/>
      <c r="AF147" s="8"/>
      <c r="AG147" s="8"/>
      <c r="AH147" s="64"/>
      <c r="AI147" s="289"/>
      <c r="AJ147" s="109"/>
      <c r="AK147" s="109"/>
      <c r="AL147" s="286"/>
      <c r="AM147" s="62"/>
      <c r="AN147" s="287"/>
      <c r="AO147" s="62"/>
      <c r="AP147" s="62"/>
      <c r="AQ147" s="62"/>
      <c r="AR147" s="109"/>
      <c r="AS147" s="8"/>
      <c r="AT147" s="64"/>
      <c r="AU147" s="64"/>
      <c r="AV147" s="64"/>
      <c r="AW147" s="64"/>
      <c r="AX147" s="64"/>
      <c r="AY147" s="8"/>
      <c r="AZ147" s="62"/>
    </row>
    <row r="148" spans="1:52" x14ac:dyDescent="0.35">
      <c r="A148" s="8"/>
      <c r="B148" s="8"/>
      <c r="C148" s="8"/>
      <c r="D148" s="8"/>
      <c r="E148" s="64"/>
      <c r="F148" s="64"/>
      <c r="G148" s="8"/>
      <c r="H148" s="65"/>
      <c r="I148" s="66"/>
      <c r="J148" s="67"/>
      <c r="K148" s="68"/>
      <c r="L148" s="69"/>
      <c r="M148" s="69"/>
      <c r="N148" s="69"/>
      <c r="O148" s="69"/>
      <c r="P148" s="69"/>
      <c r="Q148" s="69"/>
      <c r="R148" s="65"/>
      <c r="S148" s="64"/>
      <c r="T148" s="70"/>
      <c r="U148" s="71"/>
      <c r="V148" s="68"/>
      <c r="W148" s="72"/>
      <c r="X148" s="72"/>
      <c r="Y148" s="72"/>
      <c r="Z148" s="73"/>
      <c r="AA148" s="321"/>
      <c r="AB148" s="74"/>
      <c r="AC148" s="69"/>
      <c r="AD148" s="69"/>
      <c r="AE148" s="67"/>
      <c r="AF148" s="8"/>
      <c r="AG148" s="8"/>
      <c r="AH148" s="64"/>
      <c r="AI148" s="289"/>
      <c r="AJ148" s="109"/>
      <c r="AK148" s="109"/>
      <c r="AL148" s="286"/>
      <c r="AM148" s="62"/>
      <c r="AN148" s="287"/>
      <c r="AO148" s="62"/>
      <c r="AP148" s="62"/>
      <c r="AQ148" s="62"/>
      <c r="AR148" s="109"/>
      <c r="AS148" s="8"/>
      <c r="AT148" s="64"/>
      <c r="AU148" s="64"/>
      <c r="AV148" s="64"/>
      <c r="AW148" s="64"/>
      <c r="AX148" s="64"/>
      <c r="AY148" s="8"/>
      <c r="AZ148" s="62"/>
    </row>
    <row r="149" spans="1:52" x14ac:dyDescent="0.35">
      <c r="A149" s="8"/>
      <c r="B149" s="8"/>
      <c r="C149" s="8"/>
      <c r="D149" s="8"/>
      <c r="E149" s="64"/>
      <c r="F149" s="64"/>
      <c r="G149" s="8"/>
      <c r="H149" s="65"/>
      <c r="I149" s="66"/>
      <c r="J149" s="67"/>
      <c r="K149" s="68"/>
      <c r="L149" s="69"/>
      <c r="M149" s="69"/>
      <c r="N149" s="69"/>
      <c r="O149" s="69"/>
      <c r="P149" s="69"/>
      <c r="Q149" s="69"/>
      <c r="R149" s="65"/>
      <c r="S149" s="64"/>
      <c r="T149" s="70"/>
      <c r="U149" s="71"/>
      <c r="V149" s="68"/>
      <c r="W149" s="72"/>
      <c r="X149" s="72"/>
      <c r="Y149" s="72"/>
      <c r="Z149" s="73"/>
      <c r="AA149" s="321"/>
      <c r="AB149" s="74"/>
      <c r="AC149" s="69"/>
      <c r="AD149" s="69"/>
      <c r="AE149" s="67"/>
      <c r="AF149" s="8"/>
      <c r="AG149" s="8"/>
      <c r="AH149" s="64"/>
      <c r="AI149" s="289"/>
      <c r="AJ149" s="109"/>
      <c r="AK149" s="109"/>
      <c r="AL149" s="286"/>
      <c r="AM149" s="62"/>
      <c r="AN149" s="287"/>
      <c r="AO149" s="62"/>
      <c r="AP149" s="62"/>
      <c r="AQ149" s="62"/>
      <c r="AR149" s="109"/>
      <c r="AS149" s="8"/>
      <c r="AT149" s="64"/>
      <c r="AU149" s="64"/>
      <c r="AV149" s="64"/>
      <c r="AW149" s="64"/>
      <c r="AX149" s="64"/>
      <c r="AY149" s="8"/>
      <c r="AZ149" s="62"/>
    </row>
    <row r="150" spans="1:52" x14ac:dyDescent="0.35">
      <c r="A150" s="8"/>
      <c r="B150" s="8"/>
      <c r="C150" s="8"/>
      <c r="D150" s="8"/>
      <c r="E150" s="64"/>
      <c r="F150" s="64"/>
      <c r="G150" s="8"/>
      <c r="H150" s="65"/>
      <c r="I150" s="66"/>
      <c r="J150" s="67"/>
      <c r="K150" s="68"/>
      <c r="L150" s="69"/>
      <c r="M150" s="69"/>
      <c r="N150" s="69"/>
      <c r="O150" s="69"/>
      <c r="P150" s="69"/>
      <c r="Q150" s="69"/>
      <c r="R150" s="65"/>
      <c r="S150" s="64"/>
      <c r="T150" s="70"/>
      <c r="U150" s="71"/>
      <c r="V150" s="68"/>
      <c r="W150" s="72"/>
      <c r="X150" s="72"/>
      <c r="Y150" s="72"/>
      <c r="Z150" s="73"/>
      <c r="AA150" s="321"/>
      <c r="AB150" s="74"/>
      <c r="AC150" s="69"/>
      <c r="AD150" s="69"/>
      <c r="AE150" s="67"/>
      <c r="AF150" s="8"/>
      <c r="AG150" s="8"/>
      <c r="AH150" s="64"/>
      <c r="AI150" s="289"/>
      <c r="AJ150" s="109"/>
      <c r="AK150" s="109"/>
      <c r="AL150" s="286"/>
      <c r="AM150" s="62"/>
      <c r="AN150" s="287"/>
      <c r="AO150" s="62"/>
      <c r="AP150" s="62"/>
      <c r="AQ150" s="62"/>
      <c r="AR150" s="109"/>
      <c r="AS150" s="8"/>
      <c r="AT150" s="64"/>
      <c r="AU150" s="64"/>
      <c r="AV150" s="64"/>
      <c r="AW150" s="64"/>
      <c r="AX150" s="64"/>
      <c r="AY150" s="8"/>
      <c r="AZ150" s="62"/>
    </row>
    <row r="151" spans="1:52" x14ac:dyDescent="0.35">
      <c r="A151" s="8"/>
      <c r="B151" s="8"/>
      <c r="C151" s="8"/>
      <c r="D151" s="8"/>
      <c r="E151" s="64"/>
      <c r="F151" s="64"/>
      <c r="G151" s="8"/>
      <c r="H151" s="65"/>
      <c r="I151" s="66"/>
      <c r="J151" s="67"/>
      <c r="K151" s="68"/>
      <c r="L151" s="69"/>
      <c r="M151" s="69"/>
      <c r="N151" s="69"/>
      <c r="O151" s="69"/>
      <c r="P151" s="69"/>
      <c r="Q151" s="69"/>
      <c r="R151" s="65"/>
      <c r="S151" s="64"/>
      <c r="T151" s="70"/>
      <c r="U151" s="71"/>
      <c r="V151" s="68"/>
      <c r="W151" s="72"/>
      <c r="X151" s="72"/>
      <c r="Y151" s="72"/>
      <c r="Z151" s="73"/>
      <c r="AA151" s="321"/>
      <c r="AB151" s="74"/>
      <c r="AC151" s="69"/>
      <c r="AD151" s="69"/>
      <c r="AE151" s="67"/>
      <c r="AF151" s="8"/>
      <c r="AG151" s="8"/>
      <c r="AH151" s="64"/>
      <c r="AI151" s="289"/>
      <c r="AJ151" s="109"/>
      <c r="AK151" s="109"/>
      <c r="AL151" s="286"/>
      <c r="AM151" s="62"/>
      <c r="AN151" s="287"/>
      <c r="AO151" s="62"/>
      <c r="AP151" s="62"/>
      <c r="AQ151" s="62"/>
      <c r="AR151" s="109"/>
      <c r="AS151" s="8"/>
      <c r="AT151" s="64"/>
      <c r="AU151" s="64"/>
      <c r="AV151" s="64"/>
      <c r="AW151" s="64"/>
      <c r="AX151" s="64"/>
      <c r="AY151" s="8"/>
      <c r="AZ151" s="62"/>
    </row>
    <row r="152" spans="1:52" x14ac:dyDescent="0.35">
      <c r="A152" s="8"/>
      <c r="B152" s="8"/>
      <c r="C152" s="8"/>
      <c r="D152" s="8"/>
      <c r="E152" s="64"/>
      <c r="F152" s="64"/>
      <c r="G152" s="8"/>
      <c r="H152" s="65"/>
      <c r="I152" s="66"/>
      <c r="J152" s="67"/>
      <c r="K152" s="68"/>
      <c r="L152" s="69"/>
      <c r="M152" s="69"/>
      <c r="N152" s="69"/>
      <c r="O152" s="69"/>
      <c r="P152" s="69"/>
      <c r="Q152" s="69"/>
      <c r="R152" s="65"/>
      <c r="S152" s="64"/>
      <c r="T152" s="70"/>
      <c r="U152" s="71"/>
      <c r="V152" s="68"/>
      <c r="W152" s="72"/>
      <c r="X152" s="72"/>
      <c r="Y152" s="72"/>
      <c r="Z152" s="73"/>
      <c r="AA152" s="321"/>
      <c r="AB152" s="74"/>
      <c r="AC152" s="69"/>
      <c r="AD152" s="69"/>
      <c r="AE152" s="67"/>
      <c r="AF152" s="8"/>
      <c r="AG152" s="8"/>
      <c r="AH152" s="64"/>
      <c r="AI152" s="289"/>
      <c r="AJ152" s="109"/>
      <c r="AK152" s="109"/>
      <c r="AL152" s="286"/>
      <c r="AM152" s="62"/>
      <c r="AN152" s="287"/>
      <c r="AO152" s="62"/>
      <c r="AP152" s="62"/>
      <c r="AQ152" s="62"/>
      <c r="AR152" s="109"/>
      <c r="AS152" s="8"/>
      <c r="AT152" s="64"/>
      <c r="AU152" s="64"/>
      <c r="AV152" s="64"/>
      <c r="AW152" s="64"/>
      <c r="AX152" s="64"/>
      <c r="AY152" s="8"/>
      <c r="AZ152" s="62"/>
    </row>
    <row r="153" spans="1:52" x14ac:dyDescent="0.35">
      <c r="A153" s="8"/>
      <c r="B153" s="8"/>
      <c r="C153" s="8"/>
      <c r="D153" s="8"/>
      <c r="E153" s="64"/>
      <c r="F153" s="64"/>
      <c r="G153" s="8"/>
      <c r="H153" s="65"/>
      <c r="I153" s="66"/>
      <c r="J153" s="67"/>
      <c r="K153" s="68"/>
      <c r="L153" s="69"/>
      <c r="M153" s="69"/>
      <c r="N153" s="69"/>
      <c r="O153" s="69"/>
      <c r="P153" s="69"/>
      <c r="Q153" s="69"/>
      <c r="R153" s="65"/>
      <c r="S153" s="64"/>
      <c r="T153" s="70"/>
      <c r="U153" s="71"/>
      <c r="V153" s="68"/>
      <c r="W153" s="72"/>
      <c r="X153" s="72"/>
      <c r="Y153" s="72"/>
      <c r="Z153" s="73"/>
      <c r="AA153" s="321"/>
      <c r="AB153" s="74"/>
      <c r="AC153" s="69"/>
      <c r="AD153" s="69"/>
      <c r="AE153" s="67"/>
      <c r="AF153" s="8"/>
      <c r="AG153" s="8"/>
      <c r="AH153" s="64"/>
      <c r="AI153" s="289"/>
      <c r="AJ153" s="109"/>
      <c r="AK153" s="109"/>
      <c r="AL153" s="286"/>
      <c r="AM153" s="62"/>
      <c r="AN153" s="287"/>
      <c r="AO153" s="62"/>
      <c r="AP153" s="62"/>
      <c r="AQ153" s="62"/>
      <c r="AR153" s="109"/>
      <c r="AS153" s="8"/>
      <c r="AT153" s="64"/>
      <c r="AU153" s="64"/>
      <c r="AV153" s="64"/>
      <c r="AW153" s="64"/>
      <c r="AX153" s="64"/>
      <c r="AY153" s="8"/>
      <c r="AZ153" s="62"/>
    </row>
    <row r="154" spans="1:52" x14ac:dyDescent="0.35">
      <c r="A154" s="8"/>
      <c r="B154" s="8"/>
      <c r="C154" s="8"/>
      <c r="D154" s="8"/>
      <c r="E154" s="64"/>
      <c r="F154" s="64"/>
      <c r="G154" s="8"/>
      <c r="H154" s="65"/>
      <c r="I154" s="66"/>
      <c r="J154" s="67"/>
      <c r="K154" s="68"/>
      <c r="L154" s="69"/>
      <c r="M154" s="69"/>
      <c r="N154" s="69"/>
      <c r="O154" s="69"/>
      <c r="P154" s="69"/>
      <c r="Q154" s="69"/>
      <c r="R154" s="65"/>
      <c r="S154" s="64"/>
      <c r="T154" s="70"/>
      <c r="U154" s="71"/>
      <c r="V154" s="68"/>
      <c r="W154" s="72"/>
      <c r="X154" s="72"/>
      <c r="Y154" s="72"/>
      <c r="Z154" s="73"/>
      <c r="AA154" s="321"/>
      <c r="AB154" s="74"/>
      <c r="AC154" s="69"/>
      <c r="AD154" s="69"/>
      <c r="AE154" s="67"/>
      <c r="AF154" s="8"/>
      <c r="AG154" s="8"/>
      <c r="AH154" s="64"/>
      <c r="AI154" s="289"/>
      <c r="AJ154" s="109"/>
      <c r="AK154" s="109"/>
      <c r="AL154" s="286"/>
      <c r="AM154" s="62"/>
      <c r="AN154" s="287"/>
      <c r="AO154" s="62"/>
      <c r="AP154" s="62"/>
      <c r="AQ154" s="62"/>
      <c r="AR154" s="109"/>
      <c r="AS154" s="8"/>
      <c r="AT154" s="64"/>
      <c r="AU154" s="64"/>
      <c r="AV154" s="64"/>
      <c r="AW154" s="64"/>
      <c r="AX154" s="64"/>
      <c r="AY154" s="8"/>
      <c r="AZ154" s="62"/>
    </row>
    <row r="155" spans="1:52" x14ac:dyDescent="0.35">
      <c r="A155" s="8"/>
      <c r="B155" s="8"/>
      <c r="C155" s="8"/>
      <c r="D155" s="8"/>
      <c r="E155" s="64"/>
      <c r="F155" s="64"/>
      <c r="G155" s="8"/>
      <c r="H155" s="65"/>
      <c r="I155" s="66"/>
      <c r="J155" s="67"/>
      <c r="K155" s="68"/>
      <c r="L155" s="69"/>
      <c r="M155" s="69"/>
      <c r="N155" s="69"/>
      <c r="O155" s="69"/>
      <c r="P155" s="69"/>
      <c r="Q155" s="69"/>
      <c r="R155" s="65"/>
      <c r="S155" s="64"/>
      <c r="T155" s="70"/>
      <c r="U155" s="71"/>
      <c r="V155" s="68"/>
      <c r="W155" s="72"/>
      <c r="X155" s="72"/>
      <c r="Y155" s="72"/>
      <c r="Z155" s="73"/>
      <c r="AA155" s="321"/>
      <c r="AB155" s="74"/>
      <c r="AC155" s="69"/>
      <c r="AD155" s="69"/>
      <c r="AE155" s="67"/>
      <c r="AF155" s="8"/>
      <c r="AG155" s="8"/>
      <c r="AH155" s="64"/>
      <c r="AI155" s="289"/>
      <c r="AJ155" s="109"/>
      <c r="AK155" s="109"/>
      <c r="AL155" s="286"/>
      <c r="AM155" s="62"/>
      <c r="AN155" s="287"/>
      <c r="AO155" s="62"/>
      <c r="AP155" s="62"/>
      <c r="AQ155" s="62"/>
      <c r="AR155" s="109"/>
      <c r="AS155" s="8"/>
      <c r="AT155" s="64"/>
      <c r="AU155" s="64"/>
      <c r="AV155" s="64"/>
      <c r="AW155" s="64"/>
      <c r="AX155" s="64"/>
      <c r="AY155" s="8"/>
      <c r="AZ155" s="62"/>
    </row>
    <row r="156" spans="1:52" x14ac:dyDescent="0.35">
      <c r="A156" s="8"/>
      <c r="B156" s="8"/>
      <c r="C156" s="8"/>
      <c r="D156" s="8"/>
      <c r="E156" s="64"/>
      <c r="F156" s="64"/>
      <c r="G156" s="8"/>
      <c r="H156" s="65"/>
      <c r="I156" s="66"/>
      <c r="J156" s="67"/>
      <c r="K156" s="68"/>
      <c r="L156" s="69"/>
      <c r="M156" s="69"/>
      <c r="N156" s="69"/>
      <c r="O156" s="69"/>
      <c r="P156" s="69"/>
      <c r="Q156" s="69"/>
      <c r="R156" s="65"/>
      <c r="S156" s="64"/>
      <c r="T156" s="70"/>
      <c r="U156" s="71"/>
      <c r="V156" s="68"/>
      <c r="W156" s="72"/>
      <c r="X156" s="72"/>
      <c r="Y156" s="72"/>
      <c r="Z156" s="73"/>
      <c r="AA156" s="321"/>
      <c r="AB156" s="74"/>
      <c r="AC156" s="69"/>
      <c r="AD156" s="69"/>
      <c r="AE156" s="67"/>
      <c r="AF156" s="8"/>
      <c r="AG156" s="8"/>
      <c r="AH156" s="64"/>
      <c r="AI156" s="289"/>
      <c r="AJ156" s="109"/>
      <c r="AK156" s="109"/>
      <c r="AL156" s="286"/>
      <c r="AM156" s="62"/>
      <c r="AN156" s="287"/>
      <c r="AO156" s="62"/>
      <c r="AP156" s="62"/>
      <c r="AQ156" s="62"/>
      <c r="AR156" s="109"/>
      <c r="AS156" s="8"/>
      <c r="AT156" s="64"/>
      <c r="AU156" s="64"/>
      <c r="AV156" s="64"/>
      <c r="AW156" s="64"/>
      <c r="AX156" s="64"/>
      <c r="AY156" s="8"/>
      <c r="AZ156" s="62"/>
    </row>
    <row r="157" spans="1:52" x14ac:dyDescent="0.35">
      <c r="A157" s="8"/>
      <c r="B157" s="8"/>
      <c r="C157" s="8"/>
      <c r="D157" s="8"/>
      <c r="E157" s="64"/>
      <c r="F157" s="64"/>
      <c r="G157" s="8"/>
      <c r="H157" s="65"/>
      <c r="I157" s="66"/>
      <c r="J157" s="67"/>
      <c r="K157" s="68"/>
      <c r="L157" s="69"/>
      <c r="M157" s="69"/>
      <c r="N157" s="69"/>
      <c r="O157" s="69"/>
      <c r="P157" s="69"/>
      <c r="Q157" s="69"/>
      <c r="R157" s="65"/>
      <c r="S157" s="64"/>
      <c r="T157" s="70"/>
      <c r="U157" s="71"/>
      <c r="V157" s="68"/>
      <c r="W157" s="72"/>
      <c r="X157" s="72"/>
      <c r="Y157" s="72"/>
      <c r="Z157" s="73"/>
      <c r="AA157" s="321"/>
      <c r="AB157" s="74"/>
      <c r="AC157" s="69"/>
      <c r="AD157" s="69"/>
      <c r="AE157" s="67"/>
      <c r="AF157" s="8"/>
      <c r="AG157" s="8"/>
      <c r="AH157" s="64"/>
      <c r="AI157" s="289"/>
      <c r="AJ157" s="109"/>
      <c r="AK157" s="109"/>
      <c r="AL157" s="286"/>
      <c r="AM157" s="62"/>
      <c r="AN157" s="287"/>
      <c r="AO157" s="62"/>
      <c r="AP157" s="62"/>
      <c r="AQ157" s="62"/>
      <c r="AR157" s="109"/>
      <c r="AS157" s="8"/>
      <c r="AT157" s="64"/>
      <c r="AU157" s="64"/>
      <c r="AV157" s="64"/>
      <c r="AW157" s="64"/>
      <c r="AX157" s="64"/>
      <c r="AY157" s="8"/>
      <c r="AZ157" s="62"/>
    </row>
    <row r="158" spans="1:52" x14ac:dyDescent="0.35">
      <c r="A158" s="8"/>
      <c r="B158" s="8"/>
      <c r="C158" s="8"/>
      <c r="D158" s="8"/>
      <c r="E158" s="64"/>
      <c r="F158" s="64"/>
      <c r="G158" s="8"/>
      <c r="H158" s="65"/>
      <c r="I158" s="66"/>
      <c r="J158" s="67"/>
      <c r="K158" s="68"/>
      <c r="L158" s="69"/>
      <c r="M158" s="69"/>
      <c r="N158" s="69"/>
      <c r="O158" s="69"/>
      <c r="P158" s="69"/>
      <c r="Q158" s="69"/>
      <c r="R158" s="65"/>
      <c r="S158" s="64"/>
      <c r="T158" s="70"/>
      <c r="U158" s="71"/>
      <c r="V158" s="68"/>
      <c r="W158" s="72"/>
      <c r="X158" s="72"/>
      <c r="Y158" s="72"/>
      <c r="Z158" s="73"/>
      <c r="AA158" s="321"/>
      <c r="AB158" s="74"/>
      <c r="AC158" s="69"/>
      <c r="AD158" s="69"/>
      <c r="AE158" s="67"/>
      <c r="AF158" s="8"/>
      <c r="AG158" s="8"/>
      <c r="AH158" s="64"/>
      <c r="AI158" s="289"/>
      <c r="AJ158" s="109"/>
      <c r="AK158" s="109"/>
      <c r="AL158" s="286"/>
      <c r="AM158" s="62"/>
      <c r="AN158" s="287"/>
      <c r="AO158" s="62"/>
      <c r="AP158" s="62"/>
      <c r="AQ158" s="62"/>
      <c r="AR158" s="109"/>
      <c r="AS158" s="8"/>
      <c r="AT158" s="64"/>
      <c r="AU158" s="64"/>
      <c r="AV158" s="64"/>
      <c r="AW158" s="64"/>
      <c r="AX158" s="64"/>
      <c r="AY158" s="8"/>
      <c r="AZ158" s="62"/>
    </row>
    <row r="159" spans="1:52" x14ac:dyDescent="0.35">
      <c r="A159" s="8"/>
      <c r="B159" s="8"/>
      <c r="C159" s="8"/>
      <c r="D159" s="8"/>
      <c r="E159" s="64"/>
      <c r="F159" s="64"/>
      <c r="G159" s="8"/>
      <c r="H159" s="65"/>
      <c r="I159" s="66"/>
      <c r="J159" s="67"/>
      <c r="K159" s="68"/>
      <c r="L159" s="69"/>
      <c r="M159" s="69"/>
      <c r="N159" s="69"/>
      <c r="O159" s="69"/>
      <c r="P159" s="69"/>
      <c r="Q159" s="69"/>
      <c r="R159" s="65"/>
      <c r="S159" s="64"/>
      <c r="T159" s="70"/>
      <c r="U159" s="71"/>
      <c r="V159" s="68"/>
      <c r="W159" s="72"/>
      <c r="X159" s="72"/>
      <c r="Y159" s="72"/>
      <c r="Z159" s="73"/>
      <c r="AA159" s="321"/>
      <c r="AB159" s="74"/>
      <c r="AC159" s="69"/>
      <c r="AD159" s="69"/>
      <c r="AE159" s="67"/>
      <c r="AF159" s="8"/>
      <c r="AG159" s="8"/>
      <c r="AH159" s="64"/>
      <c r="AI159" s="289"/>
      <c r="AJ159" s="109"/>
      <c r="AK159" s="109"/>
      <c r="AL159" s="286"/>
      <c r="AM159" s="62"/>
      <c r="AN159" s="287"/>
      <c r="AO159" s="62"/>
      <c r="AP159" s="62"/>
      <c r="AQ159" s="62"/>
      <c r="AR159" s="109"/>
      <c r="AS159" s="8"/>
      <c r="AT159" s="64"/>
      <c r="AU159" s="64"/>
      <c r="AV159" s="64"/>
      <c r="AW159" s="64"/>
      <c r="AX159" s="64"/>
      <c r="AY159" s="8"/>
      <c r="AZ159" s="62"/>
    </row>
    <row r="160" spans="1:52" x14ac:dyDescent="0.35">
      <c r="A160" s="8"/>
      <c r="B160" s="8"/>
      <c r="C160" s="8"/>
      <c r="D160" s="8"/>
      <c r="E160" s="64"/>
      <c r="F160" s="64"/>
      <c r="G160" s="8"/>
      <c r="H160" s="65"/>
      <c r="I160" s="66"/>
      <c r="J160" s="67"/>
      <c r="K160" s="68"/>
      <c r="L160" s="69"/>
      <c r="M160" s="69"/>
      <c r="N160" s="69"/>
      <c r="O160" s="69"/>
      <c r="P160" s="69"/>
      <c r="Q160" s="69"/>
      <c r="R160" s="65"/>
      <c r="S160" s="64"/>
      <c r="T160" s="70"/>
      <c r="U160" s="71"/>
      <c r="V160" s="68"/>
      <c r="W160" s="72"/>
      <c r="X160" s="72"/>
      <c r="Y160" s="72"/>
      <c r="Z160" s="73"/>
      <c r="AA160" s="321"/>
      <c r="AB160" s="74"/>
      <c r="AC160" s="69"/>
      <c r="AD160" s="69"/>
      <c r="AE160" s="67"/>
      <c r="AF160" s="8"/>
      <c r="AG160" s="8"/>
      <c r="AH160" s="64"/>
      <c r="AI160" s="289"/>
      <c r="AJ160" s="109"/>
      <c r="AK160" s="109"/>
      <c r="AL160" s="286"/>
      <c r="AM160" s="62"/>
      <c r="AN160" s="287"/>
      <c r="AO160" s="62"/>
      <c r="AP160" s="62"/>
      <c r="AQ160" s="62"/>
      <c r="AR160" s="109"/>
      <c r="AS160" s="8"/>
      <c r="AT160" s="64"/>
      <c r="AU160" s="64"/>
      <c r="AV160" s="64"/>
      <c r="AW160" s="64"/>
      <c r="AX160" s="64"/>
      <c r="AY160" s="8"/>
      <c r="AZ160" s="62"/>
    </row>
    <row r="161" spans="1:52" x14ac:dyDescent="0.35">
      <c r="A161" s="8"/>
      <c r="B161" s="8"/>
      <c r="C161" s="8"/>
      <c r="D161" s="8"/>
      <c r="E161" s="64"/>
      <c r="F161" s="64"/>
      <c r="G161" s="8"/>
      <c r="H161" s="65"/>
      <c r="I161" s="66"/>
      <c r="J161" s="67"/>
      <c r="K161" s="68"/>
      <c r="L161" s="69"/>
      <c r="M161" s="69"/>
      <c r="N161" s="69"/>
      <c r="O161" s="69"/>
      <c r="P161" s="69"/>
      <c r="Q161" s="69"/>
      <c r="R161" s="65"/>
      <c r="S161" s="64"/>
      <c r="T161" s="70"/>
      <c r="U161" s="71"/>
      <c r="V161" s="68"/>
      <c r="W161" s="72"/>
      <c r="X161" s="72"/>
      <c r="Y161" s="72"/>
      <c r="Z161" s="73"/>
      <c r="AA161" s="321"/>
      <c r="AB161" s="74"/>
      <c r="AC161" s="69"/>
      <c r="AD161" s="69"/>
      <c r="AE161" s="67"/>
      <c r="AF161" s="8"/>
      <c r="AG161" s="8"/>
      <c r="AH161" s="64"/>
      <c r="AI161" s="289"/>
      <c r="AJ161" s="109"/>
      <c r="AK161" s="109"/>
      <c r="AL161" s="286"/>
      <c r="AM161" s="62"/>
      <c r="AN161" s="287"/>
      <c r="AO161" s="62"/>
      <c r="AP161" s="62"/>
      <c r="AQ161" s="62"/>
      <c r="AR161" s="109"/>
      <c r="AS161" s="8"/>
      <c r="AT161" s="64"/>
      <c r="AU161" s="64"/>
      <c r="AV161" s="64"/>
      <c r="AW161" s="64"/>
      <c r="AX161" s="64"/>
      <c r="AY161" s="8"/>
      <c r="AZ161" s="62"/>
    </row>
    <row r="162" spans="1:52" x14ac:dyDescent="0.35">
      <c r="A162" s="8"/>
      <c r="B162" s="8"/>
      <c r="C162" s="8"/>
      <c r="D162" s="8"/>
      <c r="E162" s="64"/>
      <c r="F162" s="64"/>
      <c r="G162" s="8"/>
      <c r="H162" s="65"/>
      <c r="I162" s="66"/>
      <c r="J162" s="67"/>
      <c r="K162" s="68"/>
      <c r="L162" s="69"/>
      <c r="M162" s="69"/>
      <c r="N162" s="69"/>
      <c r="O162" s="69"/>
      <c r="P162" s="69"/>
      <c r="Q162" s="69"/>
      <c r="R162" s="65"/>
      <c r="S162" s="64"/>
      <c r="T162" s="70"/>
      <c r="U162" s="71"/>
      <c r="V162" s="68"/>
      <c r="W162" s="72"/>
      <c r="X162" s="72"/>
      <c r="Y162" s="72"/>
      <c r="Z162" s="73"/>
      <c r="AA162" s="321"/>
      <c r="AB162" s="74"/>
      <c r="AC162" s="69"/>
      <c r="AD162" s="69"/>
      <c r="AE162" s="67"/>
      <c r="AF162" s="8"/>
      <c r="AG162" s="8"/>
      <c r="AH162" s="64"/>
      <c r="AI162" s="289"/>
      <c r="AJ162" s="109"/>
      <c r="AK162" s="109"/>
      <c r="AL162" s="286"/>
      <c r="AM162" s="62"/>
      <c r="AN162" s="287"/>
      <c r="AO162" s="62"/>
      <c r="AP162" s="62"/>
      <c r="AQ162" s="62"/>
      <c r="AR162" s="109"/>
      <c r="AS162" s="8"/>
      <c r="AT162" s="64"/>
      <c r="AU162" s="64"/>
      <c r="AV162" s="64"/>
      <c r="AW162" s="64"/>
      <c r="AX162" s="64"/>
      <c r="AY162" s="8"/>
      <c r="AZ162" s="62"/>
    </row>
    <row r="163" spans="1:52" x14ac:dyDescent="0.35">
      <c r="A163" s="8"/>
      <c r="B163" s="8"/>
      <c r="C163" s="8"/>
      <c r="D163" s="8"/>
      <c r="E163" s="64"/>
      <c r="F163" s="64"/>
      <c r="G163" s="8"/>
      <c r="H163" s="65"/>
      <c r="I163" s="66"/>
      <c r="J163" s="67"/>
      <c r="K163" s="68"/>
      <c r="L163" s="69"/>
      <c r="M163" s="69"/>
      <c r="N163" s="69"/>
      <c r="O163" s="69"/>
      <c r="P163" s="69"/>
      <c r="Q163" s="69"/>
      <c r="R163" s="65"/>
      <c r="S163" s="64"/>
      <c r="T163" s="70"/>
      <c r="U163" s="71"/>
      <c r="V163" s="68"/>
      <c r="W163" s="72"/>
      <c r="X163" s="72"/>
      <c r="Y163" s="72"/>
      <c r="Z163" s="73"/>
      <c r="AA163" s="321"/>
      <c r="AB163" s="74"/>
      <c r="AC163" s="69"/>
      <c r="AD163" s="69"/>
      <c r="AE163" s="67"/>
      <c r="AF163" s="8"/>
      <c r="AG163" s="8"/>
      <c r="AH163" s="64"/>
      <c r="AI163" s="289"/>
      <c r="AJ163" s="109"/>
      <c r="AK163" s="109"/>
      <c r="AL163" s="286"/>
      <c r="AM163" s="62"/>
      <c r="AN163" s="287"/>
      <c r="AO163" s="62"/>
      <c r="AP163" s="62"/>
      <c r="AQ163" s="62"/>
      <c r="AR163" s="109"/>
      <c r="AS163" s="8"/>
      <c r="AT163" s="64"/>
      <c r="AU163" s="64"/>
      <c r="AV163" s="64"/>
      <c r="AW163" s="64"/>
      <c r="AX163" s="64"/>
      <c r="AY163" s="8"/>
      <c r="AZ163" s="62"/>
    </row>
    <row r="164" spans="1:52" x14ac:dyDescent="0.35">
      <c r="A164" s="8"/>
      <c r="B164" s="8"/>
      <c r="C164" s="8"/>
      <c r="D164" s="8"/>
      <c r="E164" s="64"/>
      <c r="F164" s="64"/>
      <c r="G164" s="8"/>
      <c r="H164" s="65"/>
      <c r="I164" s="66"/>
      <c r="J164" s="67"/>
      <c r="K164" s="68"/>
      <c r="L164" s="69"/>
      <c r="M164" s="69"/>
      <c r="N164" s="69"/>
      <c r="O164" s="69"/>
      <c r="P164" s="69"/>
      <c r="Q164" s="69"/>
      <c r="R164" s="65"/>
      <c r="S164" s="64"/>
      <c r="T164" s="70"/>
      <c r="U164" s="71"/>
      <c r="V164" s="68"/>
      <c r="W164" s="72"/>
      <c r="X164" s="72"/>
      <c r="Y164" s="72"/>
      <c r="Z164" s="73"/>
      <c r="AA164" s="321"/>
      <c r="AB164" s="74"/>
      <c r="AC164" s="69"/>
      <c r="AD164" s="69"/>
      <c r="AE164" s="67"/>
      <c r="AF164" s="8"/>
      <c r="AG164" s="8"/>
      <c r="AH164" s="64"/>
      <c r="AI164" s="289"/>
      <c r="AJ164" s="109"/>
      <c r="AK164" s="109"/>
      <c r="AL164" s="286"/>
      <c r="AM164" s="62"/>
      <c r="AN164" s="287"/>
      <c r="AO164" s="62"/>
      <c r="AP164" s="62"/>
      <c r="AQ164" s="62"/>
      <c r="AR164" s="109"/>
      <c r="AS164" s="8"/>
      <c r="AT164" s="64"/>
      <c r="AU164" s="64"/>
      <c r="AV164" s="64"/>
      <c r="AW164" s="64"/>
      <c r="AX164" s="64"/>
      <c r="AY164" s="8"/>
      <c r="AZ164" s="62"/>
    </row>
    <row r="165" spans="1:52" x14ac:dyDescent="0.35">
      <c r="A165" s="8"/>
      <c r="B165" s="8"/>
      <c r="C165" s="8"/>
      <c r="D165" s="8"/>
      <c r="E165" s="64"/>
      <c r="F165" s="64"/>
      <c r="G165" s="8"/>
      <c r="H165" s="65"/>
      <c r="I165" s="66"/>
      <c r="J165" s="67"/>
      <c r="K165" s="68"/>
      <c r="L165" s="69"/>
      <c r="M165" s="69"/>
      <c r="N165" s="69"/>
      <c r="O165" s="69"/>
      <c r="P165" s="69"/>
      <c r="Q165" s="69"/>
      <c r="R165" s="65"/>
      <c r="S165" s="64"/>
      <c r="T165" s="70"/>
      <c r="U165" s="71"/>
      <c r="V165" s="68"/>
      <c r="W165" s="72"/>
      <c r="X165" s="72"/>
      <c r="Y165" s="72"/>
      <c r="Z165" s="73"/>
      <c r="AA165" s="321"/>
      <c r="AB165" s="74"/>
      <c r="AC165" s="69"/>
      <c r="AD165" s="69"/>
      <c r="AE165" s="67"/>
      <c r="AF165" s="8"/>
      <c r="AG165" s="8"/>
      <c r="AH165" s="64"/>
      <c r="AI165" s="289"/>
      <c r="AJ165" s="109"/>
      <c r="AK165" s="109"/>
      <c r="AL165" s="286"/>
      <c r="AM165" s="62"/>
      <c r="AN165" s="287"/>
      <c r="AO165" s="62"/>
      <c r="AP165" s="62"/>
      <c r="AQ165" s="62"/>
      <c r="AR165" s="109"/>
      <c r="AS165" s="8"/>
      <c r="AT165" s="64"/>
      <c r="AU165" s="64"/>
      <c r="AV165" s="64"/>
      <c r="AW165" s="64"/>
      <c r="AX165" s="64"/>
      <c r="AY165" s="8"/>
      <c r="AZ165" s="62"/>
    </row>
    <row r="166" spans="1:52" x14ac:dyDescent="0.35">
      <c r="A166" s="8"/>
      <c r="B166" s="8"/>
      <c r="C166" s="8"/>
      <c r="D166" s="8"/>
      <c r="E166" s="64"/>
      <c r="F166" s="64"/>
      <c r="G166" s="8"/>
      <c r="H166" s="65"/>
      <c r="I166" s="66"/>
      <c r="J166" s="67"/>
      <c r="K166" s="68"/>
      <c r="L166" s="69"/>
      <c r="M166" s="69"/>
      <c r="N166" s="69"/>
      <c r="O166" s="69"/>
      <c r="P166" s="69"/>
      <c r="Q166" s="69"/>
      <c r="R166" s="65"/>
      <c r="S166" s="64"/>
      <c r="T166" s="70"/>
      <c r="U166" s="71"/>
      <c r="V166" s="68"/>
      <c r="W166" s="72"/>
      <c r="X166" s="72"/>
      <c r="Y166" s="72"/>
      <c r="Z166" s="73"/>
      <c r="AA166" s="321"/>
      <c r="AB166" s="74"/>
      <c r="AC166" s="69"/>
      <c r="AD166" s="69"/>
      <c r="AE166" s="67"/>
      <c r="AF166" s="8"/>
      <c r="AG166" s="8"/>
      <c r="AH166" s="64"/>
      <c r="AI166" s="289"/>
      <c r="AJ166" s="109"/>
      <c r="AK166" s="109"/>
      <c r="AL166" s="286"/>
      <c r="AM166" s="62"/>
      <c r="AN166" s="287"/>
      <c r="AO166" s="62"/>
      <c r="AP166" s="62"/>
      <c r="AQ166" s="62"/>
      <c r="AR166" s="109"/>
      <c r="AS166" s="8"/>
      <c r="AT166" s="64"/>
      <c r="AU166" s="64"/>
      <c r="AV166" s="64"/>
      <c r="AW166" s="64"/>
      <c r="AX166" s="64"/>
      <c r="AY166" s="8"/>
      <c r="AZ166" s="62"/>
    </row>
    <row r="167" spans="1:52" x14ac:dyDescent="0.35">
      <c r="A167" s="8"/>
      <c r="B167" s="8"/>
      <c r="C167" s="8"/>
      <c r="D167" s="8"/>
      <c r="E167" s="64"/>
      <c r="F167" s="64"/>
      <c r="G167" s="8"/>
      <c r="H167" s="65"/>
      <c r="I167" s="66"/>
      <c r="J167" s="67"/>
      <c r="K167" s="68"/>
      <c r="L167" s="69"/>
      <c r="M167" s="69"/>
      <c r="N167" s="69"/>
      <c r="O167" s="69"/>
      <c r="P167" s="69"/>
      <c r="Q167" s="69"/>
      <c r="R167" s="65"/>
      <c r="S167" s="64"/>
      <c r="T167" s="70"/>
      <c r="U167" s="71"/>
      <c r="V167" s="68"/>
      <c r="W167" s="72"/>
      <c r="X167" s="72"/>
      <c r="Y167" s="72"/>
      <c r="Z167" s="73"/>
      <c r="AA167" s="321"/>
      <c r="AB167" s="74"/>
      <c r="AC167" s="69"/>
      <c r="AD167" s="69"/>
      <c r="AE167" s="67"/>
      <c r="AF167" s="8"/>
      <c r="AG167" s="8"/>
      <c r="AH167" s="64"/>
      <c r="AI167" s="289"/>
      <c r="AJ167" s="109"/>
      <c r="AK167" s="109"/>
      <c r="AL167" s="286"/>
      <c r="AM167" s="62"/>
      <c r="AN167" s="287"/>
      <c r="AO167" s="62"/>
      <c r="AP167" s="62"/>
      <c r="AQ167" s="62"/>
      <c r="AR167" s="109"/>
      <c r="AS167" s="8"/>
      <c r="AT167" s="64"/>
      <c r="AU167" s="64"/>
      <c r="AV167" s="64"/>
      <c r="AW167" s="64"/>
      <c r="AX167" s="64"/>
      <c r="AY167" s="8"/>
      <c r="AZ167" s="62"/>
    </row>
    <row r="168" spans="1:52" x14ac:dyDescent="0.35">
      <c r="A168" s="8"/>
      <c r="B168" s="8"/>
      <c r="C168" s="8"/>
      <c r="D168" s="8"/>
      <c r="E168" s="64"/>
      <c r="F168" s="64"/>
      <c r="G168" s="8"/>
      <c r="H168" s="65"/>
      <c r="I168" s="66"/>
      <c r="J168" s="67"/>
      <c r="K168" s="68"/>
      <c r="L168" s="69"/>
      <c r="M168" s="69"/>
      <c r="N168" s="69"/>
      <c r="O168" s="69"/>
      <c r="P168" s="69"/>
      <c r="Q168" s="69"/>
      <c r="R168" s="65"/>
      <c r="S168" s="64"/>
      <c r="T168" s="70"/>
      <c r="U168" s="71"/>
      <c r="V168" s="68"/>
      <c r="W168" s="72"/>
      <c r="X168" s="72"/>
      <c r="Y168" s="72"/>
      <c r="Z168" s="73"/>
      <c r="AA168" s="321"/>
      <c r="AB168" s="74"/>
      <c r="AC168" s="69"/>
      <c r="AD168" s="69"/>
      <c r="AE168" s="67"/>
      <c r="AF168" s="8"/>
      <c r="AG168" s="8"/>
      <c r="AH168" s="64"/>
      <c r="AI168" s="289"/>
      <c r="AJ168" s="109"/>
      <c r="AK168" s="109"/>
      <c r="AL168" s="286"/>
      <c r="AM168" s="62"/>
      <c r="AN168" s="287"/>
      <c r="AO168" s="62"/>
      <c r="AP168" s="62"/>
      <c r="AQ168" s="62"/>
      <c r="AR168" s="109"/>
      <c r="AS168" s="8"/>
      <c r="AT168" s="64"/>
      <c r="AU168" s="64"/>
      <c r="AV168" s="64"/>
      <c r="AW168" s="64"/>
      <c r="AX168" s="64"/>
      <c r="AY168" s="8"/>
      <c r="AZ168" s="62"/>
    </row>
    <row r="169" spans="1:52" x14ac:dyDescent="0.35">
      <c r="A169" s="8"/>
      <c r="B169" s="8"/>
      <c r="C169" s="8"/>
      <c r="D169" s="8"/>
      <c r="E169" s="64"/>
      <c r="F169" s="64"/>
      <c r="G169" s="8"/>
      <c r="H169" s="65"/>
      <c r="I169" s="66"/>
      <c r="J169" s="67"/>
      <c r="K169" s="68"/>
      <c r="L169" s="69"/>
      <c r="M169" s="69"/>
      <c r="N169" s="69"/>
      <c r="O169" s="69"/>
      <c r="P169" s="69"/>
      <c r="Q169" s="69"/>
      <c r="R169" s="65"/>
      <c r="S169" s="64"/>
      <c r="T169" s="70"/>
      <c r="U169" s="71"/>
      <c r="V169" s="68"/>
      <c r="W169" s="72"/>
      <c r="X169" s="72"/>
      <c r="Y169" s="72"/>
      <c r="Z169" s="73"/>
      <c r="AA169" s="321"/>
      <c r="AB169" s="74"/>
      <c r="AC169" s="69"/>
      <c r="AD169" s="69"/>
      <c r="AE169" s="67"/>
      <c r="AF169" s="8"/>
      <c r="AG169" s="8"/>
      <c r="AH169" s="64"/>
      <c r="AI169" s="289"/>
      <c r="AJ169" s="109"/>
      <c r="AK169" s="109"/>
      <c r="AL169" s="286"/>
      <c r="AM169" s="62"/>
      <c r="AN169" s="287"/>
      <c r="AO169" s="62"/>
      <c r="AP169" s="62"/>
      <c r="AQ169" s="62"/>
      <c r="AR169" s="109"/>
      <c r="AS169" s="8"/>
      <c r="AT169" s="64"/>
      <c r="AU169" s="64"/>
      <c r="AV169" s="64"/>
      <c r="AW169" s="64"/>
      <c r="AX169" s="64"/>
      <c r="AY169" s="8"/>
      <c r="AZ169" s="62"/>
    </row>
    <row r="170" spans="1:52" x14ac:dyDescent="0.35">
      <c r="A170" s="8"/>
      <c r="B170" s="8"/>
      <c r="C170" s="8"/>
      <c r="D170" s="8"/>
      <c r="E170" s="64"/>
      <c r="F170" s="64"/>
      <c r="G170" s="8"/>
      <c r="H170" s="65"/>
      <c r="I170" s="66"/>
      <c r="J170" s="67"/>
      <c r="K170" s="68"/>
      <c r="L170" s="69"/>
      <c r="M170" s="69"/>
      <c r="N170" s="69"/>
      <c r="O170" s="69"/>
      <c r="P170" s="69"/>
      <c r="Q170" s="69"/>
      <c r="R170" s="65"/>
      <c r="S170" s="64"/>
      <c r="T170" s="70"/>
      <c r="U170" s="71"/>
      <c r="V170" s="68"/>
      <c r="W170" s="72"/>
      <c r="X170" s="72"/>
      <c r="Y170" s="72"/>
      <c r="Z170" s="73"/>
      <c r="AA170" s="321"/>
      <c r="AB170" s="74"/>
      <c r="AC170" s="69"/>
      <c r="AD170" s="69"/>
      <c r="AE170" s="67"/>
      <c r="AF170" s="8"/>
      <c r="AG170" s="8"/>
      <c r="AH170" s="64"/>
      <c r="AI170" s="289"/>
      <c r="AJ170" s="109"/>
      <c r="AK170" s="109"/>
      <c r="AL170" s="286"/>
      <c r="AM170" s="62"/>
      <c r="AN170" s="287"/>
      <c r="AO170" s="62"/>
      <c r="AP170" s="62"/>
      <c r="AQ170" s="62"/>
      <c r="AR170" s="109"/>
      <c r="AS170" s="8"/>
      <c r="AT170" s="64"/>
      <c r="AU170" s="64"/>
      <c r="AV170" s="64"/>
      <c r="AW170" s="64"/>
      <c r="AX170" s="64"/>
      <c r="AY170" s="8"/>
      <c r="AZ170" s="62"/>
    </row>
    <row r="171" spans="1:52" x14ac:dyDescent="0.35">
      <c r="A171" s="8"/>
      <c r="B171" s="8"/>
      <c r="C171" s="8"/>
      <c r="D171" s="8"/>
      <c r="E171" s="64"/>
      <c r="F171" s="64"/>
      <c r="G171" s="8"/>
      <c r="H171" s="65"/>
      <c r="I171" s="66"/>
      <c r="J171" s="67"/>
      <c r="K171" s="68"/>
      <c r="L171" s="69"/>
      <c r="M171" s="69"/>
      <c r="N171" s="69"/>
      <c r="O171" s="69"/>
      <c r="P171" s="69"/>
      <c r="Q171" s="69"/>
      <c r="R171" s="65"/>
      <c r="S171" s="64"/>
      <c r="T171" s="70"/>
      <c r="U171" s="71"/>
      <c r="V171" s="68"/>
      <c r="W171" s="72"/>
      <c r="X171" s="72"/>
      <c r="Y171" s="72"/>
      <c r="Z171" s="73"/>
      <c r="AA171" s="321"/>
      <c r="AB171" s="74"/>
      <c r="AC171" s="69"/>
      <c r="AD171" s="69"/>
      <c r="AE171" s="67"/>
      <c r="AF171" s="8"/>
      <c r="AG171" s="8"/>
      <c r="AH171" s="64"/>
      <c r="AI171" s="289"/>
      <c r="AJ171" s="109"/>
      <c r="AK171" s="109"/>
      <c r="AL171" s="286"/>
      <c r="AM171" s="62"/>
      <c r="AN171" s="287"/>
      <c r="AO171" s="62"/>
      <c r="AP171" s="62"/>
      <c r="AQ171" s="62"/>
      <c r="AR171" s="109"/>
      <c r="AS171" s="8"/>
      <c r="AT171" s="64"/>
      <c r="AU171" s="64"/>
      <c r="AV171" s="64"/>
      <c r="AW171" s="64"/>
      <c r="AX171" s="64"/>
      <c r="AY171" s="8"/>
      <c r="AZ171" s="62"/>
    </row>
    <row r="172" spans="1:52" x14ac:dyDescent="0.35">
      <c r="A172" s="8"/>
      <c r="B172" s="8"/>
      <c r="C172" s="8"/>
      <c r="D172" s="8"/>
      <c r="E172" s="64"/>
      <c r="F172" s="64"/>
      <c r="G172" s="8"/>
      <c r="H172" s="65"/>
      <c r="I172" s="66"/>
      <c r="J172" s="67"/>
      <c r="K172" s="68"/>
      <c r="L172" s="69"/>
      <c r="M172" s="69"/>
      <c r="N172" s="69"/>
      <c r="O172" s="69"/>
      <c r="P172" s="69"/>
      <c r="Q172" s="69"/>
      <c r="R172" s="65"/>
      <c r="S172" s="64"/>
      <c r="T172" s="70"/>
      <c r="U172" s="71"/>
      <c r="V172" s="68"/>
      <c r="W172" s="72"/>
      <c r="X172" s="72"/>
      <c r="Y172" s="72"/>
      <c r="Z172" s="73"/>
      <c r="AA172" s="321"/>
      <c r="AB172" s="74"/>
      <c r="AC172" s="69"/>
      <c r="AD172" s="69"/>
      <c r="AE172" s="67"/>
      <c r="AF172" s="8"/>
      <c r="AG172" s="8"/>
      <c r="AH172" s="64"/>
      <c r="AI172" s="289"/>
      <c r="AJ172" s="109"/>
      <c r="AK172" s="109"/>
      <c r="AL172" s="286"/>
      <c r="AM172" s="62"/>
      <c r="AN172" s="287"/>
      <c r="AO172" s="62"/>
      <c r="AP172" s="62"/>
      <c r="AQ172" s="62"/>
      <c r="AR172" s="109"/>
      <c r="AS172" s="8"/>
      <c r="AT172" s="64"/>
      <c r="AU172" s="64"/>
      <c r="AV172" s="64"/>
      <c r="AW172" s="64"/>
      <c r="AX172" s="64"/>
      <c r="AY172" s="8"/>
      <c r="AZ172" s="62"/>
    </row>
    <row r="173" spans="1:52" x14ac:dyDescent="0.35">
      <c r="A173" s="8"/>
      <c r="B173" s="8"/>
      <c r="C173" s="8"/>
      <c r="D173" s="8"/>
      <c r="E173" s="64"/>
      <c r="F173" s="64"/>
      <c r="G173" s="8"/>
      <c r="H173" s="65"/>
      <c r="I173" s="66"/>
      <c r="J173" s="67"/>
      <c r="K173" s="68"/>
      <c r="L173" s="69"/>
      <c r="M173" s="69"/>
      <c r="N173" s="69"/>
      <c r="O173" s="69"/>
      <c r="P173" s="69"/>
      <c r="Q173" s="69"/>
      <c r="R173" s="65"/>
      <c r="S173" s="64"/>
      <c r="T173" s="70"/>
      <c r="U173" s="71"/>
      <c r="V173" s="68"/>
      <c r="W173" s="72"/>
      <c r="X173" s="72"/>
      <c r="Y173" s="72"/>
      <c r="Z173" s="73"/>
      <c r="AA173" s="321"/>
      <c r="AB173" s="74"/>
      <c r="AC173" s="69"/>
      <c r="AD173" s="69"/>
      <c r="AE173" s="67"/>
      <c r="AF173" s="8"/>
      <c r="AG173" s="8"/>
      <c r="AH173" s="64"/>
      <c r="AI173" s="289"/>
      <c r="AJ173" s="109"/>
      <c r="AK173" s="109"/>
      <c r="AL173" s="286"/>
      <c r="AM173" s="62"/>
      <c r="AN173" s="287"/>
      <c r="AO173" s="62"/>
      <c r="AP173" s="62"/>
      <c r="AQ173" s="62"/>
      <c r="AR173" s="109"/>
      <c r="AS173" s="8"/>
      <c r="AT173" s="64"/>
      <c r="AU173" s="64"/>
      <c r="AV173" s="64"/>
      <c r="AW173" s="64"/>
      <c r="AX173" s="64"/>
      <c r="AY173" s="8"/>
      <c r="AZ173" s="62"/>
    </row>
    <row r="174" spans="1:52" x14ac:dyDescent="0.35">
      <c r="A174" s="8"/>
      <c r="B174" s="8"/>
      <c r="C174" s="8"/>
      <c r="D174" s="8"/>
      <c r="E174" s="64"/>
      <c r="F174" s="64"/>
      <c r="G174" s="8"/>
      <c r="H174" s="65"/>
      <c r="I174" s="66"/>
      <c r="J174" s="67"/>
      <c r="K174" s="68"/>
      <c r="L174" s="69"/>
      <c r="M174" s="69"/>
      <c r="N174" s="69"/>
      <c r="O174" s="69"/>
      <c r="P174" s="69"/>
      <c r="Q174" s="69"/>
      <c r="R174" s="65"/>
      <c r="S174" s="64"/>
      <c r="T174" s="70"/>
      <c r="U174" s="71"/>
      <c r="V174" s="68"/>
      <c r="W174" s="72"/>
      <c r="X174" s="72"/>
      <c r="Y174" s="72"/>
      <c r="Z174" s="73"/>
      <c r="AA174" s="321"/>
      <c r="AB174" s="74"/>
      <c r="AC174" s="69"/>
      <c r="AD174" s="69"/>
      <c r="AE174" s="67"/>
      <c r="AF174" s="8"/>
      <c r="AG174" s="8"/>
      <c r="AH174" s="64"/>
      <c r="AI174" s="289"/>
      <c r="AJ174" s="109"/>
      <c r="AK174" s="109"/>
      <c r="AL174" s="286"/>
      <c r="AM174" s="62"/>
      <c r="AN174" s="287"/>
      <c r="AO174" s="62"/>
      <c r="AP174" s="62"/>
      <c r="AQ174" s="62"/>
      <c r="AR174" s="109"/>
      <c r="AS174" s="8"/>
      <c r="AT174" s="64"/>
      <c r="AU174" s="64"/>
      <c r="AV174" s="64"/>
      <c r="AW174" s="64"/>
      <c r="AX174" s="64"/>
      <c r="AY174" s="8"/>
      <c r="AZ174" s="62"/>
    </row>
    <row r="175" spans="1:52" x14ac:dyDescent="0.35">
      <c r="A175" s="8"/>
      <c r="B175" s="8"/>
      <c r="C175" s="8"/>
      <c r="D175" s="8"/>
      <c r="E175" s="64"/>
      <c r="F175" s="64"/>
      <c r="G175" s="8"/>
      <c r="H175" s="65"/>
      <c r="I175" s="66"/>
      <c r="J175" s="67"/>
      <c r="K175" s="68"/>
      <c r="L175" s="69"/>
      <c r="M175" s="69"/>
      <c r="N175" s="69"/>
      <c r="O175" s="69"/>
      <c r="P175" s="69"/>
      <c r="Q175" s="69"/>
      <c r="R175" s="65"/>
      <c r="S175" s="64"/>
      <c r="T175" s="70"/>
      <c r="U175" s="71"/>
      <c r="V175" s="68"/>
      <c r="W175" s="72"/>
      <c r="X175" s="72"/>
      <c r="Y175" s="72"/>
      <c r="Z175" s="73"/>
      <c r="AA175" s="321"/>
      <c r="AB175" s="74"/>
      <c r="AC175" s="69"/>
      <c r="AD175" s="69"/>
      <c r="AE175" s="67"/>
      <c r="AF175" s="8"/>
      <c r="AG175" s="8"/>
      <c r="AH175" s="64"/>
      <c r="AI175" s="289"/>
      <c r="AJ175" s="109"/>
      <c r="AK175" s="109"/>
      <c r="AL175" s="286"/>
      <c r="AM175" s="62"/>
      <c r="AN175" s="287"/>
      <c r="AO175" s="62"/>
      <c r="AP175" s="62"/>
      <c r="AQ175" s="62"/>
      <c r="AR175" s="109"/>
      <c r="AS175" s="8"/>
      <c r="AT175" s="64"/>
      <c r="AU175" s="64"/>
      <c r="AV175" s="64"/>
      <c r="AW175" s="64"/>
      <c r="AX175" s="64"/>
      <c r="AY175" s="8"/>
      <c r="AZ175" s="62"/>
    </row>
    <row r="176" spans="1:52" x14ac:dyDescent="0.35">
      <c r="A176" s="8"/>
      <c r="B176" s="8"/>
      <c r="C176" s="8"/>
      <c r="D176" s="8"/>
      <c r="E176" s="64"/>
      <c r="F176" s="64"/>
      <c r="G176" s="8"/>
      <c r="H176" s="65"/>
      <c r="I176" s="66"/>
      <c r="J176" s="67"/>
      <c r="K176" s="68"/>
      <c r="L176" s="69"/>
      <c r="M176" s="69"/>
      <c r="N176" s="69"/>
      <c r="O176" s="69"/>
      <c r="P176" s="69"/>
      <c r="Q176" s="69"/>
      <c r="R176" s="65"/>
      <c r="S176" s="64"/>
      <c r="T176" s="70"/>
      <c r="U176" s="71"/>
      <c r="V176" s="68"/>
      <c r="W176" s="72"/>
      <c r="X176" s="72"/>
      <c r="Y176" s="72"/>
      <c r="Z176" s="73"/>
      <c r="AA176" s="321"/>
      <c r="AB176" s="74"/>
      <c r="AC176" s="69"/>
      <c r="AD176" s="69"/>
      <c r="AE176" s="67"/>
      <c r="AF176" s="8"/>
      <c r="AG176" s="8"/>
      <c r="AH176" s="64"/>
      <c r="AI176" s="289"/>
      <c r="AJ176" s="109"/>
      <c r="AK176" s="109"/>
      <c r="AL176" s="286"/>
      <c r="AM176" s="62"/>
      <c r="AN176" s="287"/>
      <c r="AO176" s="62"/>
      <c r="AP176" s="62"/>
      <c r="AQ176" s="62"/>
      <c r="AR176" s="109"/>
      <c r="AS176" s="8"/>
      <c r="AT176" s="64"/>
      <c r="AU176" s="64"/>
      <c r="AV176" s="64"/>
      <c r="AW176" s="64"/>
      <c r="AX176" s="64"/>
      <c r="AY176" s="8"/>
      <c r="AZ176" s="62"/>
    </row>
    <row r="177" spans="1:52" x14ac:dyDescent="0.35">
      <c r="A177" s="8"/>
      <c r="B177" s="8"/>
      <c r="C177" s="8"/>
      <c r="D177" s="8"/>
      <c r="E177" s="64"/>
      <c r="F177" s="64"/>
      <c r="G177" s="8"/>
      <c r="H177" s="65"/>
      <c r="I177" s="66"/>
      <c r="J177" s="67"/>
      <c r="K177" s="68"/>
      <c r="L177" s="69"/>
      <c r="M177" s="69"/>
      <c r="N177" s="69"/>
      <c r="O177" s="69"/>
      <c r="P177" s="69"/>
      <c r="Q177" s="69"/>
      <c r="R177" s="65"/>
      <c r="S177" s="64"/>
      <c r="T177" s="70"/>
      <c r="U177" s="71"/>
      <c r="V177" s="68"/>
      <c r="W177" s="72"/>
      <c r="X177" s="72"/>
      <c r="Y177" s="72"/>
      <c r="Z177" s="73"/>
      <c r="AA177" s="321"/>
      <c r="AB177" s="74"/>
      <c r="AC177" s="69"/>
      <c r="AD177" s="69"/>
      <c r="AE177" s="67"/>
      <c r="AF177" s="8"/>
      <c r="AG177" s="8"/>
      <c r="AH177" s="64"/>
      <c r="AI177" s="289"/>
      <c r="AJ177" s="109"/>
      <c r="AK177" s="109"/>
      <c r="AL177" s="286"/>
      <c r="AM177" s="62"/>
      <c r="AN177" s="287"/>
      <c r="AO177" s="62"/>
      <c r="AP177" s="62"/>
      <c r="AQ177" s="62"/>
      <c r="AR177" s="109"/>
      <c r="AS177" s="8"/>
      <c r="AT177" s="64"/>
      <c r="AU177" s="64"/>
      <c r="AV177" s="64"/>
      <c r="AW177" s="64"/>
      <c r="AX177" s="64"/>
      <c r="AY177" s="8"/>
      <c r="AZ177" s="62"/>
    </row>
    <row r="178" spans="1:52" x14ac:dyDescent="0.35">
      <c r="A178" s="8"/>
      <c r="B178" s="8"/>
      <c r="C178" s="8"/>
      <c r="D178" s="8"/>
      <c r="E178" s="64"/>
      <c r="F178" s="64"/>
      <c r="G178" s="8"/>
      <c r="H178" s="65"/>
      <c r="I178" s="66"/>
      <c r="J178" s="67"/>
      <c r="K178" s="68"/>
      <c r="L178" s="69"/>
      <c r="M178" s="69"/>
      <c r="N178" s="69"/>
      <c r="O178" s="69"/>
      <c r="P178" s="69"/>
      <c r="Q178" s="69"/>
      <c r="R178" s="65"/>
      <c r="S178" s="64"/>
      <c r="T178" s="70"/>
      <c r="U178" s="71"/>
      <c r="V178" s="68"/>
      <c r="W178" s="72"/>
      <c r="X178" s="72"/>
      <c r="Y178" s="72"/>
      <c r="Z178" s="73"/>
      <c r="AA178" s="321"/>
      <c r="AB178" s="74"/>
      <c r="AC178" s="69"/>
      <c r="AD178" s="69"/>
      <c r="AE178" s="67"/>
      <c r="AF178" s="8"/>
      <c r="AG178" s="8"/>
      <c r="AH178" s="64"/>
      <c r="AI178" s="289"/>
      <c r="AJ178" s="109"/>
      <c r="AK178" s="109"/>
      <c r="AL178" s="286"/>
      <c r="AM178" s="62"/>
      <c r="AN178" s="287"/>
      <c r="AO178" s="62"/>
      <c r="AP178" s="62"/>
      <c r="AQ178" s="62"/>
      <c r="AR178" s="109"/>
      <c r="AS178" s="8"/>
      <c r="AT178" s="64"/>
      <c r="AU178" s="64"/>
      <c r="AV178" s="64"/>
      <c r="AW178" s="64"/>
      <c r="AX178" s="64"/>
      <c r="AY178" s="8"/>
      <c r="AZ178" s="62"/>
    </row>
    <row r="179" spans="1:52" x14ac:dyDescent="0.35">
      <c r="A179" s="8"/>
      <c r="B179" s="8"/>
      <c r="C179" s="8"/>
      <c r="D179" s="8"/>
      <c r="E179" s="64"/>
      <c r="F179" s="64"/>
      <c r="G179" s="8"/>
      <c r="H179" s="65"/>
      <c r="I179" s="66"/>
      <c r="J179" s="67"/>
      <c r="K179" s="68"/>
      <c r="L179" s="69"/>
      <c r="M179" s="69"/>
      <c r="N179" s="69"/>
      <c r="O179" s="69"/>
      <c r="P179" s="69"/>
      <c r="Q179" s="69"/>
      <c r="R179" s="65"/>
      <c r="S179" s="64"/>
      <c r="T179" s="70"/>
      <c r="U179" s="71"/>
      <c r="V179" s="68"/>
      <c r="W179" s="72"/>
      <c r="X179" s="72"/>
      <c r="Y179" s="72"/>
      <c r="Z179" s="73"/>
      <c r="AA179" s="321"/>
      <c r="AB179" s="74"/>
      <c r="AC179" s="69"/>
      <c r="AD179" s="69"/>
      <c r="AE179" s="67"/>
      <c r="AF179" s="8"/>
      <c r="AG179" s="8"/>
      <c r="AH179" s="64"/>
      <c r="AI179" s="289"/>
      <c r="AJ179" s="109"/>
      <c r="AK179" s="109"/>
      <c r="AL179" s="286"/>
      <c r="AM179" s="62"/>
      <c r="AN179" s="287"/>
      <c r="AO179" s="62"/>
      <c r="AP179" s="62"/>
      <c r="AQ179" s="62"/>
      <c r="AR179" s="109"/>
      <c r="AS179" s="8"/>
      <c r="AT179" s="64"/>
      <c r="AU179" s="64"/>
      <c r="AV179" s="64"/>
      <c r="AW179" s="64"/>
      <c r="AX179" s="64"/>
      <c r="AY179" s="8"/>
      <c r="AZ179" s="62"/>
    </row>
    <row r="180" spans="1:52" x14ac:dyDescent="0.35">
      <c r="A180" s="8"/>
      <c r="B180" s="8"/>
      <c r="C180" s="8"/>
      <c r="D180" s="8"/>
      <c r="E180" s="64"/>
      <c r="F180" s="64"/>
      <c r="G180" s="8"/>
      <c r="H180" s="65"/>
      <c r="I180" s="66"/>
      <c r="J180" s="67"/>
      <c r="K180" s="68"/>
      <c r="L180" s="69"/>
      <c r="M180" s="69"/>
      <c r="N180" s="69"/>
      <c r="O180" s="69"/>
      <c r="P180" s="69"/>
      <c r="Q180" s="69"/>
      <c r="R180" s="65"/>
      <c r="S180" s="64"/>
      <c r="T180" s="70"/>
      <c r="U180" s="71"/>
      <c r="V180" s="68"/>
      <c r="W180" s="72"/>
      <c r="X180" s="72"/>
      <c r="Y180" s="72"/>
      <c r="Z180" s="73"/>
      <c r="AA180" s="321"/>
      <c r="AB180" s="74"/>
      <c r="AC180" s="69"/>
      <c r="AD180" s="69"/>
      <c r="AE180" s="67"/>
      <c r="AF180" s="8"/>
      <c r="AG180" s="8"/>
      <c r="AH180" s="64"/>
      <c r="AI180" s="289"/>
      <c r="AJ180" s="109"/>
      <c r="AK180" s="109"/>
      <c r="AL180" s="286"/>
      <c r="AM180" s="62"/>
      <c r="AN180" s="287"/>
      <c r="AO180" s="62"/>
      <c r="AP180" s="62"/>
      <c r="AQ180" s="62"/>
      <c r="AR180" s="109"/>
      <c r="AS180" s="8"/>
      <c r="AT180" s="64"/>
      <c r="AU180" s="64"/>
      <c r="AV180" s="64"/>
      <c r="AW180" s="64"/>
      <c r="AX180" s="64"/>
      <c r="AY180" s="8"/>
      <c r="AZ180" s="62"/>
    </row>
    <row r="181" spans="1:52" x14ac:dyDescent="0.35">
      <c r="A181" s="8"/>
      <c r="B181" s="8"/>
      <c r="C181" s="8"/>
      <c r="D181" s="8"/>
      <c r="E181" s="64"/>
      <c r="F181" s="64"/>
      <c r="G181" s="8"/>
      <c r="H181" s="65"/>
      <c r="I181" s="66"/>
      <c r="J181" s="67"/>
      <c r="K181" s="68"/>
      <c r="L181" s="69"/>
      <c r="M181" s="69"/>
      <c r="N181" s="69"/>
      <c r="O181" s="69"/>
      <c r="P181" s="69"/>
      <c r="Q181" s="69"/>
      <c r="R181" s="65"/>
      <c r="S181" s="64"/>
      <c r="T181" s="70"/>
      <c r="U181" s="71"/>
      <c r="V181" s="68"/>
      <c r="W181" s="72"/>
      <c r="X181" s="72"/>
      <c r="Y181" s="72"/>
      <c r="Z181" s="73"/>
      <c r="AA181" s="321"/>
      <c r="AB181" s="74"/>
      <c r="AC181" s="69"/>
      <c r="AD181" s="69"/>
      <c r="AE181" s="67"/>
      <c r="AF181" s="8"/>
      <c r="AG181" s="8"/>
      <c r="AH181" s="64"/>
      <c r="AI181" s="289"/>
      <c r="AJ181" s="109"/>
      <c r="AK181" s="109"/>
      <c r="AL181" s="286"/>
      <c r="AM181" s="62"/>
      <c r="AN181" s="287"/>
      <c r="AO181" s="62"/>
      <c r="AP181" s="62"/>
      <c r="AQ181" s="62"/>
      <c r="AR181" s="109"/>
      <c r="AS181" s="8"/>
      <c r="AT181" s="64"/>
      <c r="AU181" s="64"/>
      <c r="AV181" s="64"/>
      <c r="AW181" s="64"/>
      <c r="AX181" s="64"/>
      <c r="AY181" s="8"/>
      <c r="AZ181" s="62"/>
    </row>
    <row r="182" spans="1:52" x14ac:dyDescent="0.35">
      <c r="A182" s="8"/>
      <c r="B182" s="8"/>
      <c r="C182" s="8"/>
      <c r="D182" s="8"/>
      <c r="E182" s="64"/>
      <c r="F182" s="64"/>
      <c r="G182" s="8"/>
      <c r="H182" s="65"/>
      <c r="I182" s="66"/>
      <c r="J182" s="67"/>
      <c r="K182" s="68"/>
      <c r="L182" s="69"/>
      <c r="M182" s="69"/>
      <c r="N182" s="69"/>
      <c r="O182" s="69"/>
      <c r="P182" s="69"/>
      <c r="Q182" s="69"/>
      <c r="R182" s="65"/>
      <c r="S182" s="64"/>
      <c r="T182" s="70"/>
      <c r="U182" s="71"/>
      <c r="V182" s="68"/>
      <c r="W182" s="72"/>
      <c r="X182" s="72"/>
      <c r="Y182" s="72"/>
      <c r="Z182" s="73"/>
      <c r="AA182" s="321"/>
      <c r="AB182" s="74"/>
      <c r="AC182" s="69"/>
      <c r="AD182" s="69"/>
      <c r="AE182" s="67"/>
      <c r="AF182" s="8"/>
      <c r="AG182" s="8"/>
      <c r="AH182" s="64"/>
      <c r="AI182" s="289"/>
      <c r="AJ182" s="109"/>
      <c r="AK182" s="109"/>
      <c r="AL182" s="286"/>
      <c r="AM182" s="62"/>
      <c r="AN182" s="287"/>
      <c r="AO182" s="62"/>
      <c r="AP182" s="62"/>
      <c r="AQ182" s="62"/>
      <c r="AR182" s="109"/>
      <c r="AS182" s="8"/>
      <c r="AT182" s="64"/>
      <c r="AU182" s="64"/>
      <c r="AV182" s="64"/>
      <c r="AW182" s="64"/>
      <c r="AX182" s="64"/>
      <c r="AY182" s="8"/>
      <c r="AZ182" s="62"/>
    </row>
    <row r="183" spans="1:52" x14ac:dyDescent="0.35">
      <c r="A183" s="8"/>
      <c r="B183" s="8"/>
      <c r="C183" s="8"/>
      <c r="D183" s="8"/>
      <c r="E183" s="64"/>
      <c r="F183" s="64"/>
      <c r="G183" s="8"/>
      <c r="H183" s="65"/>
      <c r="I183" s="66"/>
      <c r="J183" s="67"/>
      <c r="K183" s="68"/>
      <c r="L183" s="69"/>
      <c r="M183" s="69"/>
      <c r="N183" s="69"/>
      <c r="O183" s="69"/>
      <c r="P183" s="69"/>
      <c r="Q183" s="69"/>
      <c r="R183" s="65"/>
      <c r="S183" s="64"/>
      <c r="T183" s="70"/>
      <c r="U183" s="71"/>
      <c r="V183" s="68"/>
      <c r="W183" s="72"/>
      <c r="X183" s="72"/>
      <c r="Y183" s="72"/>
      <c r="Z183" s="73"/>
      <c r="AA183" s="321"/>
      <c r="AB183" s="74"/>
      <c r="AC183" s="69"/>
      <c r="AD183" s="69"/>
      <c r="AE183" s="67"/>
      <c r="AF183" s="8"/>
      <c r="AG183" s="8"/>
      <c r="AH183" s="64"/>
      <c r="AI183" s="289"/>
      <c r="AJ183" s="109"/>
      <c r="AK183" s="109"/>
      <c r="AL183" s="286"/>
      <c r="AM183" s="62"/>
      <c r="AN183" s="287"/>
      <c r="AO183" s="62"/>
      <c r="AP183" s="62"/>
      <c r="AQ183" s="62"/>
      <c r="AR183" s="109"/>
      <c r="AS183" s="8"/>
      <c r="AT183" s="64"/>
      <c r="AU183" s="64"/>
      <c r="AV183" s="64"/>
      <c r="AW183" s="64"/>
      <c r="AX183" s="64"/>
      <c r="AY183" s="8"/>
      <c r="AZ183" s="62"/>
    </row>
    <row r="184" spans="1:52" x14ac:dyDescent="0.35">
      <c r="A184" s="8"/>
      <c r="B184" s="8"/>
      <c r="C184" s="8"/>
      <c r="D184" s="8"/>
      <c r="E184" s="64"/>
      <c r="F184" s="64"/>
      <c r="G184" s="8"/>
      <c r="H184" s="65"/>
      <c r="I184" s="66"/>
      <c r="J184" s="67"/>
      <c r="K184" s="68"/>
      <c r="L184" s="69"/>
      <c r="M184" s="69"/>
      <c r="N184" s="69"/>
      <c r="O184" s="69"/>
      <c r="P184" s="69"/>
      <c r="Q184" s="69"/>
      <c r="R184" s="65"/>
      <c r="S184" s="64"/>
      <c r="T184" s="70"/>
      <c r="U184" s="71"/>
      <c r="V184" s="68"/>
      <c r="W184" s="72"/>
      <c r="X184" s="72"/>
      <c r="Y184" s="72"/>
      <c r="Z184" s="73"/>
      <c r="AA184" s="321"/>
      <c r="AB184" s="74"/>
      <c r="AC184" s="69"/>
      <c r="AD184" s="69"/>
      <c r="AE184" s="67"/>
      <c r="AF184" s="8"/>
      <c r="AG184" s="8"/>
      <c r="AH184" s="64"/>
      <c r="AI184" s="289"/>
      <c r="AJ184" s="109"/>
      <c r="AK184" s="109"/>
      <c r="AL184" s="286"/>
      <c r="AM184" s="62"/>
      <c r="AN184" s="287"/>
      <c r="AO184" s="62"/>
      <c r="AP184" s="62"/>
      <c r="AQ184" s="62"/>
      <c r="AR184" s="109"/>
      <c r="AS184" s="8"/>
      <c r="AT184" s="64"/>
      <c r="AU184" s="64"/>
      <c r="AV184" s="64"/>
      <c r="AW184" s="64"/>
      <c r="AX184" s="64"/>
      <c r="AY184" s="8"/>
      <c r="AZ184" s="62"/>
    </row>
    <row r="185" spans="1:52" x14ac:dyDescent="0.35">
      <c r="A185" s="8"/>
      <c r="B185" s="8"/>
      <c r="C185" s="8"/>
      <c r="D185" s="8"/>
      <c r="E185" s="64"/>
      <c r="F185" s="64"/>
      <c r="G185" s="8"/>
      <c r="H185" s="65"/>
      <c r="I185" s="66"/>
      <c r="J185" s="67"/>
      <c r="K185" s="68"/>
      <c r="L185" s="69"/>
      <c r="M185" s="69"/>
      <c r="N185" s="69"/>
      <c r="O185" s="69"/>
      <c r="P185" s="69"/>
      <c r="Q185" s="69"/>
      <c r="R185" s="65"/>
      <c r="S185" s="64"/>
      <c r="T185" s="70"/>
      <c r="U185" s="71"/>
      <c r="V185" s="68"/>
      <c r="W185" s="72"/>
      <c r="X185" s="72"/>
      <c r="Y185" s="72"/>
      <c r="Z185" s="73"/>
      <c r="AA185" s="321"/>
      <c r="AB185" s="74"/>
      <c r="AC185" s="69"/>
      <c r="AD185" s="69"/>
      <c r="AE185" s="67"/>
      <c r="AF185" s="8"/>
      <c r="AG185" s="8"/>
      <c r="AH185" s="64"/>
      <c r="AI185" s="289"/>
      <c r="AJ185" s="109"/>
      <c r="AK185" s="109"/>
      <c r="AL185" s="286"/>
      <c r="AM185" s="62"/>
      <c r="AN185" s="287"/>
      <c r="AO185" s="62"/>
      <c r="AP185" s="62"/>
      <c r="AQ185" s="62"/>
      <c r="AR185" s="109"/>
      <c r="AS185" s="8"/>
      <c r="AT185" s="64"/>
      <c r="AU185" s="64"/>
      <c r="AV185" s="64"/>
      <c r="AW185" s="64"/>
      <c r="AX185" s="64"/>
      <c r="AY185" s="8"/>
      <c r="AZ185" s="62"/>
    </row>
    <row r="186" spans="1:52" x14ac:dyDescent="0.35">
      <c r="A186" s="8"/>
      <c r="B186" s="8"/>
      <c r="C186" s="8"/>
      <c r="D186" s="8"/>
      <c r="E186" s="64"/>
      <c r="F186" s="64"/>
      <c r="G186" s="8"/>
      <c r="H186" s="65"/>
      <c r="I186" s="66"/>
      <c r="J186" s="67"/>
      <c r="K186" s="68"/>
      <c r="L186" s="69"/>
      <c r="M186" s="69"/>
      <c r="N186" s="69"/>
      <c r="O186" s="69"/>
      <c r="P186" s="69"/>
      <c r="Q186" s="69"/>
      <c r="R186" s="65"/>
      <c r="S186" s="64"/>
      <c r="T186" s="70"/>
      <c r="U186" s="71"/>
      <c r="V186" s="68"/>
      <c r="W186" s="72"/>
      <c r="X186" s="72"/>
      <c r="Y186" s="72"/>
      <c r="Z186" s="73"/>
      <c r="AA186" s="321"/>
      <c r="AB186" s="74"/>
      <c r="AC186" s="69"/>
      <c r="AD186" s="69"/>
      <c r="AE186" s="67"/>
      <c r="AF186" s="8"/>
      <c r="AG186" s="8"/>
      <c r="AH186" s="64"/>
      <c r="AI186" s="289"/>
      <c r="AJ186" s="109"/>
      <c r="AK186" s="109"/>
      <c r="AL186" s="286"/>
      <c r="AM186" s="62"/>
      <c r="AN186" s="287"/>
      <c r="AO186" s="62"/>
      <c r="AP186" s="62"/>
      <c r="AQ186" s="62"/>
      <c r="AR186" s="109"/>
      <c r="AS186" s="8"/>
      <c r="AT186" s="64"/>
      <c r="AU186" s="64"/>
      <c r="AV186" s="64"/>
      <c r="AW186" s="64"/>
      <c r="AX186" s="64"/>
      <c r="AY186" s="8"/>
      <c r="AZ186" s="62"/>
    </row>
    <row r="187" spans="1:52" x14ac:dyDescent="0.35">
      <c r="A187" s="8"/>
      <c r="B187" s="8"/>
      <c r="C187" s="8"/>
      <c r="D187" s="8"/>
      <c r="E187" s="64"/>
      <c r="F187" s="64"/>
      <c r="G187" s="8"/>
      <c r="H187" s="65"/>
      <c r="I187" s="66"/>
      <c r="J187" s="67"/>
      <c r="K187" s="68"/>
      <c r="L187" s="69"/>
      <c r="M187" s="69"/>
      <c r="N187" s="69"/>
      <c r="O187" s="69"/>
      <c r="P187" s="69"/>
      <c r="Q187" s="69"/>
      <c r="R187" s="65"/>
      <c r="S187" s="64"/>
      <c r="T187" s="70"/>
      <c r="U187" s="71"/>
      <c r="V187" s="68"/>
      <c r="W187" s="72"/>
      <c r="X187" s="72"/>
      <c r="Y187" s="72"/>
      <c r="Z187" s="73"/>
      <c r="AA187" s="321"/>
      <c r="AB187" s="74"/>
      <c r="AC187" s="69"/>
      <c r="AD187" s="69"/>
      <c r="AE187" s="67"/>
      <c r="AF187" s="8"/>
      <c r="AG187" s="8"/>
      <c r="AH187" s="64"/>
      <c r="AI187" s="289"/>
      <c r="AJ187" s="109"/>
      <c r="AK187" s="109"/>
      <c r="AL187" s="286"/>
      <c r="AM187" s="62"/>
      <c r="AN187" s="287"/>
      <c r="AO187" s="62"/>
      <c r="AP187" s="62"/>
      <c r="AQ187" s="62"/>
      <c r="AR187" s="109"/>
      <c r="AS187" s="8"/>
      <c r="AT187" s="64"/>
      <c r="AU187" s="64"/>
      <c r="AV187" s="64"/>
      <c r="AW187" s="64"/>
      <c r="AX187" s="64"/>
      <c r="AY187" s="8"/>
      <c r="AZ187" s="62"/>
    </row>
    <row r="188" spans="1:52" x14ac:dyDescent="0.35">
      <c r="A188" s="8"/>
      <c r="B188" s="8"/>
      <c r="C188" s="8"/>
      <c r="D188" s="8"/>
      <c r="E188" s="64"/>
      <c r="F188" s="64"/>
      <c r="G188" s="8"/>
      <c r="H188" s="65"/>
      <c r="I188" s="66"/>
      <c r="J188" s="67"/>
      <c r="K188" s="68"/>
      <c r="L188" s="69"/>
      <c r="M188" s="69"/>
      <c r="N188" s="69"/>
      <c r="O188" s="69"/>
      <c r="P188" s="69"/>
      <c r="Q188" s="69"/>
      <c r="R188" s="65"/>
      <c r="S188" s="64"/>
      <c r="T188" s="70"/>
      <c r="U188" s="71"/>
      <c r="V188" s="68"/>
      <c r="W188" s="72"/>
      <c r="X188" s="72"/>
      <c r="Y188" s="72"/>
      <c r="Z188" s="73"/>
      <c r="AA188" s="321"/>
      <c r="AB188" s="74"/>
      <c r="AC188" s="69"/>
      <c r="AD188" s="69"/>
      <c r="AE188" s="67"/>
      <c r="AF188" s="8"/>
      <c r="AG188" s="8"/>
      <c r="AH188" s="64"/>
      <c r="AI188" s="289"/>
      <c r="AJ188" s="109"/>
      <c r="AK188" s="109"/>
      <c r="AL188" s="286"/>
      <c r="AM188" s="62"/>
      <c r="AN188" s="287"/>
      <c r="AO188" s="62"/>
      <c r="AP188" s="62"/>
      <c r="AQ188" s="62"/>
      <c r="AR188" s="109"/>
      <c r="AS188" s="8"/>
      <c r="AT188" s="64"/>
      <c r="AU188" s="64"/>
      <c r="AV188" s="64"/>
      <c r="AW188" s="64"/>
      <c r="AX188" s="64"/>
      <c r="AY188" s="8"/>
      <c r="AZ188" s="62"/>
    </row>
    <row r="189" spans="1:52" x14ac:dyDescent="0.35">
      <c r="A189" s="8"/>
      <c r="B189" s="8"/>
      <c r="C189" s="8"/>
      <c r="D189" s="8"/>
      <c r="E189" s="64"/>
      <c r="F189" s="64"/>
      <c r="G189" s="8"/>
      <c r="H189" s="65"/>
      <c r="I189" s="66"/>
      <c r="J189" s="67"/>
      <c r="K189" s="68"/>
      <c r="L189" s="69"/>
      <c r="M189" s="69"/>
      <c r="N189" s="69"/>
      <c r="O189" s="69"/>
      <c r="P189" s="69"/>
      <c r="Q189" s="69"/>
      <c r="R189" s="65"/>
      <c r="S189" s="64"/>
      <c r="T189" s="70"/>
      <c r="U189" s="71"/>
      <c r="V189" s="68"/>
      <c r="W189" s="72"/>
      <c r="X189" s="72"/>
      <c r="Y189" s="72"/>
      <c r="Z189" s="73"/>
      <c r="AA189" s="321"/>
      <c r="AB189" s="74"/>
      <c r="AC189" s="69"/>
      <c r="AD189" s="69"/>
      <c r="AE189" s="67"/>
      <c r="AF189" s="8"/>
      <c r="AG189" s="8"/>
      <c r="AH189" s="64"/>
      <c r="AI189" s="289"/>
      <c r="AJ189" s="109"/>
      <c r="AK189" s="109"/>
      <c r="AL189" s="286"/>
      <c r="AM189" s="62"/>
      <c r="AN189" s="287"/>
      <c r="AO189" s="62"/>
      <c r="AP189" s="62"/>
      <c r="AQ189" s="62"/>
      <c r="AR189" s="109"/>
      <c r="AS189" s="8"/>
      <c r="AT189" s="64"/>
      <c r="AU189" s="64"/>
      <c r="AV189" s="64"/>
      <c r="AW189" s="64"/>
      <c r="AX189" s="64"/>
      <c r="AY189" s="8"/>
      <c r="AZ189" s="62"/>
    </row>
    <row r="190" spans="1:52" x14ac:dyDescent="0.35">
      <c r="A190" s="8"/>
      <c r="B190" s="8"/>
      <c r="C190" s="8"/>
      <c r="D190" s="8"/>
      <c r="E190" s="64"/>
      <c r="F190" s="64"/>
      <c r="G190" s="8"/>
      <c r="H190" s="65"/>
      <c r="I190" s="66"/>
      <c r="J190" s="67"/>
      <c r="K190" s="68"/>
      <c r="L190" s="69"/>
      <c r="M190" s="69"/>
      <c r="N190" s="69"/>
      <c r="O190" s="69"/>
      <c r="P190" s="69"/>
      <c r="Q190" s="69"/>
      <c r="R190" s="65"/>
      <c r="S190" s="64"/>
      <c r="T190" s="70"/>
      <c r="U190" s="71"/>
      <c r="V190" s="68"/>
      <c r="W190" s="72"/>
      <c r="X190" s="72"/>
      <c r="Y190" s="72"/>
      <c r="Z190" s="73"/>
      <c r="AA190" s="321"/>
      <c r="AB190" s="74"/>
      <c r="AC190" s="69"/>
      <c r="AD190" s="69"/>
      <c r="AE190" s="67"/>
      <c r="AF190" s="8"/>
      <c r="AG190" s="8"/>
      <c r="AH190" s="64"/>
      <c r="AI190" s="289"/>
      <c r="AJ190" s="109"/>
      <c r="AK190" s="109"/>
      <c r="AL190" s="286"/>
      <c r="AM190" s="62"/>
      <c r="AN190" s="287"/>
      <c r="AO190" s="62"/>
      <c r="AP190" s="62"/>
      <c r="AQ190" s="62"/>
      <c r="AR190" s="109"/>
      <c r="AS190" s="8"/>
      <c r="AT190" s="64"/>
      <c r="AU190" s="64"/>
      <c r="AV190" s="64"/>
      <c r="AW190" s="64"/>
      <c r="AX190" s="64"/>
      <c r="AY190" s="8"/>
      <c r="AZ190" s="62"/>
    </row>
    <row r="191" spans="1:52" x14ac:dyDescent="0.35">
      <c r="A191" s="8"/>
      <c r="B191" s="8"/>
      <c r="C191" s="8"/>
      <c r="D191" s="8"/>
      <c r="E191" s="64"/>
      <c r="F191" s="64"/>
      <c r="G191" s="8"/>
      <c r="H191" s="65"/>
      <c r="I191" s="66"/>
      <c r="J191" s="67"/>
      <c r="K191" s="68"/>
      <c r="L191" s="69"/>
      <c r="M191" s="69"/>
      <c r="N191" s="69"/>
      <c r="O191" s="69"/>
      <c r="P191" s="69"/>
      <c r="Q191" s="69"/>
      <c r="R191" s="65"/>
      <c r="S191" s="64"/>
      <c r="T191" s="70"/>
      <c r="U191" s="71"/>
      <c r="V191" s="68"/>
      <c r="W191" s="72"/>
      <c r="X191" s="72"/>
      <c r="Y191" s="72"/>
      <c r="Z191" s="73"/>
      <c r="AA191" s="321"/>
      <c r="AB191" s="74"/>
      <c r="AC191" s="69"/>
      <c r="AD191" s="69"/>
      <c r="AE191" s="67"/>
      <c r="AF191" s="8"/>
      <c r="AG191" s="8"/>
      <c r="AH191" s="64"/>
      <c r="AI191" s="289"/>
      <c r="AJ191" s="109"/>
      <c r="AK191" s="109"/>
      <c r="AL191" s="286"/>
      <c r="AM191" s="62"/>
      <c r="AN191" s="287"/>
      <c r="AO191" s="62"/>
      <c r="AP191" s="62"/>
      <c r="AQ191" s="62"/>
      <c r="AR191" s="109"/>
      <c r="AS191" s="8"/>
      <c r="AT191" s="64"/>
      <c r="AU191" s="64"/>
      <c r="AV191" s="64"/>
      <c r="AW191" s="64"/>
      <c r="AX191" s="64"/>
      <c r="AY191" s="8"/>
      <c r="AZ191" s="62"/>
    </row>
    <row r="192" spans="1:52" x14ac:dyDescent="0.35">
      <c r="A192" s="8"/>
      <c r="B192" s="8"/>
      <c r="C192" s="8"/>
      <c r="D192" s="8"/>
      <c r="E192" s="64"/>
      <c r="F192" s="64"/>
      <c r="G192" s="8"/>
      <c r="H192" s="65"/>
      <c r="I192" s="66"/>
      <c r="J192" s="67"/>
      <c r="K192" s="68"/>
      <c r="L192" s="69"/>
      <c r="M192" s="69"/>
      <c r="N192" s="69"/>
      <c r="O192" s="69"/>
      <c r="P192" s="69"/>
      <c r="Q192" s="69"/>
      <c r="R192" s="65"/>
      <c r="S192" s="64"/>
      <c r="T192" s="70"/>
      <c r="U192" s="71"/>
      <c r="V192" s="68"/>
      <c r="W192" s="72"/>
      <c r="X192" s="72"/>
      <c r="Y192" s="72"/>
      <c r="Z192" s="73"/>
      <c r="AA192" s="321"/>
      <c r="AB192" s="74"/>
      <c r="AC192" s="69"/>
      <c r="AD192" s="69"/>
      <c r="AE192" s="67"/>
      <c r="AF192" s="8"/>
      <c r="AG192" s="8"/>
      <c r="AH192" s="64"/>
      <c r="AI192" s="289"/>
      <c r="AJ192" s="109"/>
      <c r="AK192" s="109"/>
      <c r="AL192" s="286"/>
      <c r="AM192" s="62"/>
      <c r="AN192" s="287"/>
      <c r="AO192" s="62"/>
      <c r="AP192" s="62"/>
      <c r="AQ192" s="62"/>
      <c r="AR192" s="109"/>
      <c r="AS192" s="8"/>
      <c r="AT192" s="64"/>
      <c r="AU192" s="64"/>
      <c r="AV192" s="64"/>
      <c r="AW192" s="64"/>
      <c r="AX192" s="64"/>
      <c r="AY192" s="8"/>
      <c r="AZ192" s="62"/>
    </row>
    <row r="193" spans="1:52" x14ac:dyDescent="0.35">
      <c r="A193" s="8"/>
      <c r="B193" s="8"/>
      <c r="C193" s="8"/>
      <c r="D193" s="8"/>
      <c r="E193" s="64"/>
      <c r="F193" s="64"/>
      <c r="G193" s="8"/>
      <c r="H193" s="65"/>
      <c r="I193" s="66"/>
      <c r="J193" s="67"/>
      <c r="K193" s="68"/>
      <c r="L193" s="69"/>
      <c r="M193" s="69"/>
      <c r="N193" s="69"/>
      <c r="O193" s="69"/>
      <c r="P193" s="69"/>
      <c r="Q193" s="69"/>
      <c r="R193" s="65"/>
      <c r="S193" s="64"/>
      <c r="T193" s="70"/>
      <c r="U193" s="71"/>
      <c r="V193" s="68"/>
      <c r="W193" s="72"/>
      <c r="X193" s="72"/>
      <c r="Y193" s="72"/>
      <c r="Z193" s="73"/>
      <c r="AA193" s="321"/>
      <c r="AB193" s="74"/>
      <c r="AC193" s="69"/>
      <c r="AD193" s="69"/>
      <c r="AE193" s="67"/>
      <c r="AF193" s="8"/>
      <c r="AG193" s="8"/>
      <c r="AH193" s="64"/>
      <c r="AI193" s="289"/>
      <c r="AJ193" s="109"/>
      <c r="AK193" s="109"/>
      <c r="AL193" s="286"/>
      <c r="AM193" s="62"/>
      <c r="AN193" s="287"/>
      <c r="AO193" s="62"/>
      <c r="AP193" s="62"/>
      <c r="AQ193" s="62"/>
      <c r="AR193" s="109"/>
      <c r="AS193" s="8"/>
      <c r="AT193" s="64"/>
      <c r="AU193" s="64"/>
      <c r="AV193" s="64"/>
      <c r="AW193" s="64"/>
      <c r="AX193" s="64"/>
      <c r="AY193" s="8"/>
      <c r="AZ193" s="62"/>
    </row>
    <row r="194" spans="1:52" x14ac:dyDescent="0.35">
      <c r="A194" s="8"/>
      <c r="B194" s="8"/>
      <c r="C194" s="8"/>
      <c r="D194" s="8"/>
      <c r="E194" s="64"/>
      <c r="F194" s="64"/>
      <c r="G194" s="8"/>
      <c r="H194" s="65"/>
      <c r="I194" s="66"/>
      <c r="J194" s="67"/>
      <c r="K194" s="68"/>
      <c r="L194" s="69"/>
      <c r="M194" s="69"/>
      <c r="N194" s="69"/>
      <c r="O194" s="69"/>
      <c r="P194" s="69"/>
      <c r="Q194" s="69"/>
      <c r="R194" s="65"/>
      <c r="S194" s="64"/>
      <c r="T194" s="70"/>
      <c r="U194" s="71"/>
      <c r="V194" s="68"/>
      <c r="W194" s="72"/>
      <c r="X194" s="72"/>
      <c r="Y194" s="72"/>
      <c r="Z194" s="73"/>
      <c r="AA194" s="321"/>
      <c r="AB194" s="74"/>
      <c r="AC194" s="69"/>
      <c r="AD194" s="69"/>
      <c r="AE194" s="67"/>
      <c r="AF194" s="8"/>
      <c r="AG194" s="8"/>
      <c r="AH194" s="64"/>
      <c r="AI194" s="289"/>
      <c r="AJ194" s="109"/>
      <c r="AK194" s="109"/>
      <c r="AL194" s="286"/>
      <c r="AM194" s="62"/>
      <c r="AN194" s="287"/>
      <c r="AO194" s="62"/>
      <c r="AP194" s="62"/>
      <c r="AQ194" s="62"/>
      <c r="AR194" s="109"/>
      <c r="AS194" s="8"/>
      <c r="AT194" s="64"/>
      <c r="AU194" s="64"/>
      <c r="AV194" s="64"/>
      <c r="AW194" s="64"/>
      <c r="AX194" s="64"/>
      <c r="AY194" s="8"/>
      <c r="AZ194" s="62"/>
    </row>
    <row r="195" spans="1:52" x14ac:dyDescent="0.35">
      <c r="A195" s="8"/>
      <c r="B195" s="8"/>
      <c r="C195" s="8"/>
      <c r="D195" s="8"/>
      <c r="E195" s="64"/>
      <c r="F195" s="64"/>
      <c r="G195" s="8"/>
      <c r="H195" s="65"/>
      <c r="I195" s="66"/>
      <c r="J195" s="67"/>
      <c r="K195" s="68"/>
      <c r="L195" s="69"/>
      <c r="M195" s="69"/>
      <c r="N195" s="69"/>
      <c r="O195" s="69"/>
      <c r="P195" s="69"/>
      <c r="Q195" s="69"/>
      <c r="R195" s="65"/>
      <c r="S195" s="64"/>
      <c r="T195" s="70"/>
      <c r="U195" s="71"/>
      <c r="V195" s="68"/>
      <c r="W195" s="72"/>
      <c r="X195" s="72"/>
      <c r="Y195" s="72"/>
      <c r="Z195" s="73"/>
      <c r="AA195" s="321"/>
      <c r="AB195" s="74"/>
      <c r="AC195" s="69"/>
      <c r="AD195" s="69"/>
      <c r="AE195" s="67"/>
      <c r="AF195" s="8"/>
      <c r="AG195" s="8"/>
      <c r="AH195" s="64"/>
      <c r="AI195" s="289"/>
      <c r="AJ195" s="109"/>
      <c r="AK195" s="109"/>
      <c r="AL195" s="286"/>
      <c r="AM195" s="62"/>
      <c r="AN195" s="287"/>
      <c r="AO195" s="62"/>
      <c r="AP195" s="62"/>
      <c r="AQ195" s="62"/>
      <c r="AR195" s="109"/>
      <c r="AS195" s="8"/>
      <c r="AT195" s="64"/>
      <c r="AU195" s="64"/>
      <c r="AV195" s="64"/>
      <c r="AW195" s="64"/>
      <c r="AX195" s="64"/>
      <c r="AY195" s="8"/>
      <c r="AZ195" s="62"/>
    </row>
    <row r="196" spans="1:52" x14ac:dyDescent="0.35">
      <c r="A196" s="8"/>
      <c r="B196" s="8"/>
      <c r="C196" s="8"/>
      <c r="D196" s="8"/>
      <c r="E196" s="64"/>
      <c r="F196" s="64"/>
      <c r="G196" s="8"/>
      <c r="H196" s="65"/>
      <c r="I196" s="66"/>
      <c r="J196" s="67"/>
      <c r="K196" s="68"/>
      <c r="L196" s="69"/>
      <c r="M196" s="69"/>
      <c r="N196" s="69"/>
      <c r="O196" s="69"/>
      <c r="P196" s="69"/>
      <c r="Q196" s="69"/>
      <c r="R196" s="65"/>
      <c r="S196" s="64"/>
      <c r="T196" s="70"/>
      <c r="U196" s="71"/>
      <c r="V196" s="68"/>
      <c r="W196" s="72"/>
      <c r="X196" s="72"/>
      <c r="Y196" s="72"/>
      <c r="Z196" s="73"/>
      <c r="AA196" s="321"/>
      <c r="AB196" s="74"/>
      <c r="AC196" s="69"/>
      <c r="AD196" s="69"/>
      <c r="AE196" s="67"/>
      <c r="AF196" s="8"/>
      <c r="AG196" s="8"/>
      <c r="AH196" s="64"/>
      <c r="AI196" s="289"/>
      <c r="AJ196" s="109"/>
      <c r="AK196" s="109"/>
      <c r="AL196" s="286"/>
      <c r="AM196" s="62"/>
      <c r="AN196" s="287"/>
      <c r="AO196" s="62"/>
      <c r="AP196" s="62"/>
      <c r="AQ196" s="62"/>
      <c r="AR196" s="109"/>
      <c r="AS196" s="8"/>
      <c r="AT196" s="64"/>
      <c r="AU196" s="64"/>
      <c r="AV196" s="64"/>
      <c r="AW196" s="64"/>
      <c r="AX196" s="64"/>
      <c r="AY196" s="8"/>
      <c r="AZ196" s="62"/>
    </row>
    <row r="197" spans="1:52" x14ac:dyDescent="0.35">
      <c r="A197" s="8"/>
      <c r="B197" s="8"/>
      <c r="C197" s="8"/>
      <c r="D197" s="8"/>
      <c r="E197" s="64"/>
      <c r="F197" s="64"/>
      <c r="G197" s="8"/>
      <c r="H197" s="65"/>
      <c r="I197" s="66"/>
      <c r="J197" s="67"/>
      <c r="K197" s="68"/>
      <c r="L197" s="69"/>
      <c r="M197" s="69"/>
      <c r="N197" s="69"/>
      <c r="O197" s="69"/>
      <c r="P197" s="69"/>
      <c r="Q197" s="69"/>
      <c r="R197" s="65"/>
      <c r="S197" s="64"/>
      <c r="T197" s="70"/>
      <c r="U197" s="71"/>
      <c r="V197" s="68"/>
      <c r="W197" s="72"/>
      <c r="X197" s="72"/>
      <c r="Y197" s="72"/>
      <c r="Z197" s="73"/>
      <c r="AA197" s="321"/>
      <c r="AB197" s="74"/>
      <c r="AC197" s="69"/>
      <c r="AD197" s="69"/>
      <c r="AE197" s="67"/>
      <c r="AF197" s="8"/>
      <c r="AG197" s="8"/>
      <c r="AH197" s="64"/>
      <c r="AI197" s="289"/>
      <c r="AJ197" s="109"/>
      <c r="AK197" s="109"/>
      <c r="AL197" s="286"/>
      <c r="AM197" s="62"/>
      <c r="AN197" s="287"/>
      <c r="AO197" s="62"/>
      <c r="AP197" s="62"/>
      <c r="AQ197" s="62"/>
      <c r="AR197" s="109"/>
      <c r="AS197" s="8"/>
      <c r="AT197" s="64"/>
      <c r="AU197" s="64"/>
      <c r="AV197" s="64"/>
      <c r="AW197" s="64"/>
      <c r="AX197" s="64"/>
      <c r="AY197" s="8"/>
      <c r="AZ197" s="62"/>
    </row>
    <row r="198" spans="1:52" x14ac:dyDescent="0.35">
      <c r="A198" s="8"/>
      <c r="B198" s="8"/>
      <c r="C198" s="8"/>
      <c r="D198" s="8"/>
      <c r="E198" s="64"/>
      <c r="F198" s="64"/>
      <c r="G198" s="8"/>
      <c r="H198" s="65"/>
      <c r="I198" s="66"/>
      <c r="J198" s="67"/>
      <c r="K198" s="68"/>
      <c r="L198" s="69"/>
      <c r="M198" s="69"/>
      <c r="N198" s="69"/>
      <c r="O198" s="69"/>
      <c r="P198" s="69"/>
      <c r="Q198" s="69"/>
      <c r="R198" s="65"/>
      <c r="S198" s="64"/>
      <c r="T198" s="70"/>
      <c r="U198" s="71"/>
      <c r="V198" s="68"/>
      <c r="W198" s="72"/>
      <c r="X198" s="72"/>
      <c r="Y198" s="72"/>
      <c r="Z198" s="73"/>
      <c r="AA198" s="321"/>
      <c r="AB198" s="74"/>
      <c r="AC198" s="69"/>
      <c r="AD198" s="69"/>
      <c r="AE198" s="67"/>
      <c r="AF198" s="8"/>
      <c r="AG198" s="8"/>
      <c r="AH198" s="64"/>
      <c r="AI198" s="289"/>
      <c r="AJ198" s="109"/>
      <c r="AK198" s="109"/>
      <c r="AL198" s="286"/>
      <c r="AM198" s="62"/>
      <c r="AN198" s="287"/>
      <c r="AO198" s="62"/>
      <c r="AP198" s="62"/>
      <c r="AQ198" s="62"/>
      <c r="AR198" s="109"/>
      <c r="AS198" s="8"/>
      <c r="AT198" s="64"/>
      <c r="AU198" s="64"/>
      <c r="AV198" s="64"/>
      <c r="AW198" s="64"/>
      <c r="AX198" s="64"/>
      <c r="AY198" s="8"/>
      <c r="AZ198" s="62"/>
    </row>
    <row r="199" spans="1:52" x14ac:dyDescent="0.35">
      <c r="A199" s="8"/>
      <c r="B199" s="8"/>
      <c r="C199" s="8"/>
      <c r="D199" s="8"/>
      <c r="E199" s="64"/>
      <c r="F199" s="64"/>
      <c r="G199" s="8"/>
      <c r="H199" s="65"/>
      <c r="I199" s="66"/>
      <c r="J199" s="67"/>
      <c r="K199" s="68"/>
      <c r="L199" s="69"/>
      <c r="M199" s="69"/>
      <c r="N199" s="69"/>
      <c r="O199" s="69"/>
      <c r="P199" s="69"/>
      <c r="Q199" s="69"/>
      <c r="R199" s="65"/>
      <c r="S199" s="64"/>
      <c r="T199" s="70"/>
      <c r="U199" s="71"/>
      <c r="V199" s="68"/>
      <c r="W199" s="72"/>
      <c r="X199" s="72"/>
      <c r="Y199" s="72"/>
      <c r="Z199" s="73"/>
      <c r="AA199" s="321"/>
      <c r="AB199" s="74"/>
      <c r="AC199" s="69"/>
      <c r="AD199" s="69"/>
      <c r="AE199" s="67"/>
      <c r="AF199" s="8"/>
      <c r="AG199" s="8"/>
      <c r="AH199" s="64"/>
      <c r="AI199" s="289"/>
      <c r="AJ199" s="109"/>
      <c r="AK199" s="109"/>
      <c r="AL199" s="286"/>
      <c r="AM199" s="62"/>
      <c r="AN199" s="287"/>
      <c r="AO199" s="62"/>
      <c r="AP199" s="62"/>
      <c r="AQ199" s="62"/>
      <c r="AR199" s="109"/>
      <c r="AS199" s="8"/>
      <c r="AT199" s="64"/>
      <c r="AU199" s="64"/>
      <c r="AV199" s="64"/>
      <c r="AW199" s="64"/>
      <c r="AX199" s="64"/>
      <c r="AY199" s="8"/>
      <c r="AZ199" s="62"/>
    </row>
    <row r="200" spans="1:52" x14ac:dyDescent="0.35">
      <c r="A200" s="8"/>
      <c r="B200" s="8"/>
      <c r="C200" s="8"/>
      <c r="D200" s="8"/>
      <c r="E200" s="64"/>
      <c r="F200" s="64"/>
      <c r="G200" s="8"/>
      <c r="H200" s="65"/>
      <c r="I200" s="66"/>
      <c r="J200" s="67"/>
      <c r="K200" s="68"/>
      <c r="L200" s="69"/>
      <c r="M200" s="69"/>
      <c r="N200" s="69"/>
      <c r="O200" s="69"/>
      <c r="P200" s="69"/>
      <c r="Q200" s="69"/>
      <c r="R200" s="65"/>
      <c r="S200" s="64"/>
      <c r="T200" s="70"/>
      <c r="U200" s="71"/>
      <c r="V200" s="68"/>
      <c r="W200" s="72"/>
      <c r="X200" s="72"/>
      <c r="Y200" s="72"/>
      <c r="Z200" s="73"/>
      <c r="AA200" s="321"/>
      <c r="AB200" s="74"/>
      <c r="AC200" s="69"/>
      <c r="AD200" s="69"/>
      <c r="AE200" s="67"/>
      <c r="AF200" s="8"/>
      <c r="AG200" s="8"/>
      <c r="AH200" s="64"/>
      <c r="AI200" s="289"/>
      <c r="AJ200" s="109"/>
      <c r="AK200" s="109"/>
      <c r="AL200" s="286"/>
      <c r="AM200" s="62"/>
      <c r="AN200" s="287"/>
      <c r="AO200" s="62"/>
      <c r="AP200" s="62"/>
      <c r="AQ200" s="62"/>
      <c r="AR200" s="109"/>
      <c r="AS200" s="8"/>
      <c r="AT200" s="64"/>
      <c r="AU200" s="64"/>
      <c r="AV200" s="64"/>
      <c r="AW200" s="64"/>
      <c r="AX200" s="64"/>
      <c r="AY200" s="8"/>
      <c r="AZ200" s="62"/>
    </row>
    <row r="201" spans="1:52" x14ac:dyDescent="0.35">
      <c r="A201" s="8"/>
      <c r="B201" s="8"/>
      <c r="C201" s="8"/>
      <c r="D201" s="8"/>
      <c r="E201" s="64"/>
      <c r="F201" s="64"/>
      <c r="G201" s="8"/>
      <c r="H201" s="65"/>
      <c r="I201" s="66"/>
      <c r="J201" s="67"/>
      <c r="K201" s="68"/>
      <c r="L201" s="69"/>
      <c r="M201" s="69"/>
      <c r="N201" s="69"/>
      <c r="O201" s="69"/>
      <c r="P201" s="69"/>
      <c r="Q201" s="69"/>
      <c r="R201" s="65"/>
      <c r="S201" s="64"/>
      <c r="T201" s="70"/>
      <c r="U201" s="71"/>
      <c r="V201" s="68"/>
      <c r="W201" s="72"/>
      <c r="X201" s="72"/>
      <c r="Y201" s="72"/>
      <c r="Z201" s="73"/>
      <c r="AA201" s="321"/>
      <c r="AB201" s="74"/>
      <c r="AC201" s="69"/>
      <c r="AD201" s="69"/>
      <c r="AE201" s="67"/>
      <c r="AF201" s="8"/>
      <c r="AG201" s="8"/>
      <c r="AH201" s="64"/>
      <c r="AI201" s="289"/>
      <c r="AJ201" s="109"/>
      <c r="AK201" s="109"/>
      <c r="AL201" s="286"/>
      <c r="AM201" s="62"/>
      <c r="AN201" s="287"/>
      <c r="AO201" s="62"/>
      <c r="AP201" s="62"/>
      <c r="AQ201" s="62"/>
      <c r="AR201" s="109"/>
      <c r="AS201" s="8"/>
      <c r="AT201" s="64"/>
      <c r="AU201" s="64"/>
      <c r="AV201" s="64"/>
      <c r="AW201" s="64"/>
      <c r="AX201" s="64"/>
      <c r="AY201" s="8"/>
      <c r="AZ201" s="62"/>
    </row>
    <row r="202" spans="1:52" x14ac:dyDescent="0.35">
      <c r="A202" s="8"/>
      <c r="B202" s="8"/>
      <c r="C202" s="8"/>
      <c r="D202" s="8"/>
      <c r="E202" s="64"/>
      <c r="F202" s="64"/>
      <c r="G202" s="8"/>
      <c r="H202" s="65"/>
      <c r="I202" s="66"/>
      <c r="J202" s="67"/>
      <c r="K202" s="68"/>
      <c r="L202" s="69"/>
      <c r="M202" s="69"/>
      <c r="N202" s="69"/>
      <c r="O202" s="69"/>
      <c r="P202" s="69"/>
      <c r="Q202" s="69"/>
      <c r="R202" s="65"/>
      <c r="S202" s="64"/>
      <c r="T202" s="70"/>
      <c r="U202" s="71"/>
      <c r="V202" s="68"/>
      <c r="W202" s="72"/>
      <c r="X202" s="72"/>
      <c r="Y202" s="72"/>
      <c r="Z202" s="73"/>
      <c r="AA202" s="321"/>
      <c r="AB202" s="74"/>
      <c r="AC202" s="69"/>
      <c r="AD202" s="69"/>
      <c r="AE202" s="67"/>
      <c r="AF202" s="8"/>
      <c r="AG202" s="8"/>
      <c r="AH202" s="64"/>
      <c r="AI202" s="289"/>
      <c r="AJ202" s="109"/>
      <c r="AK202" s="109"/>
      <c r="AL202" s="286"/>
      <c r="AM202" s="62"/>
      <c r="AN202" s="287"/>
      <c r="AO202" s="62"/>
      <c r="AP202" s="62"/>
      <c r="AQ202" s="62"/>
      <c r="AR202" s="109"/>
      <c r="AS202" s="8"/>
      <c r="AT202" s="64"/>
      <c r="AU202" s="64"/>
      <c r="AV202" s="64"/>
      <c r="AW202" s="64"/>
      <c r="AX202" s="64"/>
      <c r="AY202" s="8"/>
      <c r="AZ202" s="62"/>
    </row>
    <row r="203" spans="1:52" x14ac:dyDescent="0.35">
      <c r="A203" s="8"/>
      <c r="B203" s="8"/>
      <c r="C203" s="8"/>
      <c r="D203" s="8"/>
      <c r="E203" s="64"/>
      <c r="F203" s="64"/>
      <c r="G203" s="8"/>
      <c r="H203" s="65"/>
      <c r="I203" s="66"/>
      <c r="J203" s="67"/>
      <c r="K203" s="68"/>
      <c r="L203" s="69"/>
      <c r="M203" s="69"/>
      <c r="N203" s="69"/>
      <c r="O203" s="69"/>
      <c r="P203" s="69"/>
      <c r="Q203" s="69"/>
      <c r="R203" s="65"/>
      <c r="S203" s="64"/>
      <c r="T203" s="70"/>
      <c r="U203" s="71"/>
      <c r="V203" s="68"/>
      <c r="W203" s="72"/>
      <c r="X203" s="72"/>
      <c r="Y203" s="72"/>
      <c r="Z203" s="73"/>
      <c r="AA203" s="321"/>
      <c r="AB203" s="74"/>
      <c r="AC203" s="69"/>
      <c r="AD203" s="69"/>
      <c r="AE203" s="67"/>
      <c r="AF203" s="8"/>
      <c r="AG203" s="8"/>
      <c r="AH203" s="64"/>
      <c r="AI203" s="289"/>
      <c r="AJ203" s="109"/>
      <c r="AK203" s="109"/>
      <c r="AL203" s="286"/>
      <c r="AM203" s="62"/>
      <c r="AN203" s="287"/>
      <c r="AO203" s="62"/>
      <c r="AP203" s="62"/>
      <c r="AQ203" s="62"/>
      <c r="AR203" s="109"/>
      <c r="AS203" s="8"/>
      <c r="AT203" s="64"/>
      <c r="AU203" s="64"/>
      <c r="AV203" s="64"/>
      <c r="AW203" s="64"/>
      <c r="AX203" s="64"/>
      <c r="AY203" s="8"/>
      <c r="AZ203" s="62"/>
    </row>
    <row r="204" spans="1:52" x14ac:dyDescent="0.35">
      <c r="A204" s="8"/>
      <c r="B204" s="8"/>
      <c r="C204" s="8"/>
      <c r="D204" s="8"/>
      <c r="E204" s="64"/>
      <c r="F204" s="64"/>
      <c r="G204" s="8"/>
      <c r="H204" s="65"/>
      <c r="I204" s="66"/>
      <c r="J204" s="67"/>
      <c r="K204" s="68"/>
      <c r="L204" s="69"/>
      <c r="M204" s="69"/>
      <c r="N204" s="69"/>
      <c r="O204" s="69"/>
      <c r="P204" s="69"/>
      <c r="Q204" s="69"/>
      <c r="R204" s="65"/>
      <c r="S204" s="64"/>
      <c r="T204" s="70"/>
      <c r="U204" s="71"/>
      <c r="V204" s="68"/>
      <c r="W204" s="72"/>
      <c r="X204" s="72"/>
      <c r="Y204" s="72"/>
      <c r="Z204" s="73"/>
      <c r="AA204" s="321"/>
      <c r="AB204" s="74"/>
      <c r="AC204" s="69"/>
      <c r="AD204" s="69"/>
      <c r="AE204" s="67"/>
      <c r="AF204" s="8"/>
      <c r="AG204" s="8"/>
      <c r="AH204" s="64"/>
      <c r="AI204" s="289"/>
      <c r="AJ204" s="109"/>
      <c r="AK204" s="109"/>
      <c r="AL204" s="286"/>
      <c r="AM204" s="62"/>
      <c r="AN204" s="287"/>
      <c r="AO204" s="62"/>
      <c r="AP204" s="62"/>
      <c r="AQ204" s="62"/>
      <c r="AR204" s="109"/>
      <c r="AS204" s="8"/>
      <c r="AT204" s="64"/>
      <c r="AU204" s="64"/>
      <c r="AV204" s="64"/>
      <c r="AW204" s="64"/>
      <c r="AX204" s="64"/>
      <c r="AY204" s="8"/>
      <c r="AZ204" s="62"/>
    </row>
    <row r="205" spans="1:52" x14ac:dyDescent="0.35">
      <c r="A205" s="8"/>
      <c r="B205" s="8"/>
      <c r="C205" s="8"/>
      <c r="D205" s="8"/>
      <c r="E205" s="64"/>
      <c r="F205" s="64"/>
      <c r="G205" s="8"/>
      <c r="H205" s="65"/>
      <c r="I205" s="66"/>
      <c r="J205" s="67"/>
      <c r="K205" s="68"/>
      <c r="L205" s="69"/>
      <c r="M205" s="69"/>
      <c r="N205" s="69"/>
      <c r="O205" s="69"/>
      <c r="P205" s="69"/>
      <c r="Q205" s="69"/>
      <c r="R205" s="65"/>
      <c r="S205" s="64"/>
      <c r="T205" s="70"/>
      <c r="U205" s="71"/>
      <c r="V205" s="68"/>
      <c r="W205" s="72"/>
      <c r="X205" s="72"/>
      <c r="Y205" s="72"/>
      <c r="Z205" s="73"/>
      <c r="AA205" s="321"/>
      <c r="AB205" s="74"/>
      <c r="AC205" s="69"/>
      <c r="AD205" s="69"/>
      <c r="AE205" s="67"/>
      <c r="AF205" s="8"/>
      <c r="AG205" s="8"/>
      <c r="AH205" s="64"/>
      <c r="AI205" s="289"/>
      <c r="AJ205" s="109"/>
      <c r="AK205" s="109"/>
      <c r="AL205" s="286"/>
      <c r="AM205" s="62"/>
      <c r="AN205" s="287"/>
      <c r="AO205" s="62"/>
      <c r="AP205" s="62"/>
      <c r="AQ205" s="62"/>
      <c r="AR205" s="109"/>
      <c r="AS205" s="8"/>
      <c r="AT205" s="64"/>
      <c r="AU205" s="64"/>
      <c r="AV205" s="64"/>
      <c r="AW205" s="64"/>
      <c r="AX205" s="64"/>
      <c r="AY205" s="8"/>
      <c r="AZ205" s="62"/>
    </row>
    <row r="206" spans="1:52" x14ac:dyDescent="0.35">
      <c r="A206" s="8"/>
      <c r="B206" s="8"/>
      <c r="C206" s="8"/>
      <c r="D206" s="8"/>
      <c r="E206" s="64"/>
      <c r="F206" s="64"/>
      <c r="G206" s="8"/>
      <c r="H206" s="65"/>
      <c r="I206" s="66"/>
      <c r="J206" s="67"/>
      <c r="K206" s="68"/>
      <c r="L206" s="69"/>
      <c r="M206" s="69"/>
      <c r="N206" s="69"/>
      <c r="O206" s="69"/>
      <c r="P206" s="69"/>
      <c r="Q206" s="69"/>
      <c r="R206" s="65"/>
      <c r="S206" s="64"/>
      <c r="T206" s="70"/>
      <c r="U206" s="71"/>
      <c r="V206" s="68"/>
      <c r="W206" s="72"/>
      <c r="X206" s="72"/>
      <c r="Y206" s="72"/>
      <c r="Z206" s="73"/>
      <c r="AA206" s="321"/>
      <c r="AB206" s="74"/>
      <c r="AC206" s="69"/>
      <c r="AD206" s="69"/>
      <c r="AE206" s="67"/>
      <c r="AF206" s="8"/>
      <c r="AG206" s="8"/>
      <c r="AH206" s="64"/>
      <c r="AI206" s="289"/>
      <c r="AJ206" s="109"/>
      <c r="AK206" s="109"/>
      <c r="AL206" s="286"/>
      <c r="AM206" s="62"/>
      <c r="AN206" s="287"/>
      <c r="AO206" s="62"/>
      <c r="AP206" s="62"/>
      <c r="AQ206" s="62"/>
      <c r="AR206" s="109"/>
      <c r="AS206" s="8"/>
      <c r="AT206" s="64"/>
      <c r="AU206" s="64"/>
      <c r="AV206" s="64"/>
      <c r="AW206" s="64"/>
      <c r="AX206" s="64"/>
      <c r="AY206" s="8"/>
      <c r="AZ206" s="62"/>
    </row>
    <row r="207" spans="1:52" x14ac:dyDescent="0.35">
      <c r="A207" s="8"/>
      <c r="B207" s="8"/>
      <c r="C207" s="8"/>
      <c r="D207" s="8"/>
      <c r="E207" s="64"/>
      <c r="F207" s="64"/>
      <c r="G207" s="8"/>
      <c r="H207" s="65"/>
      <c r="I207" s="66"/>
      <c r="J207" s="67"/>
      <c r="K207" s="68"/>
      <c r="L207" s="69"/>
      <c r="M207" s="69"/>
      <c r="N207" s="69"/>
      <c r="O207" s="69"/>
      <c r="P207" s="69"/>
      <c r="Q207" s="69"/>
      <c r="R207" s="65"/>
      <c r="S207" s="64"/>
      <c r="T207" s="70"/>
      <c r="U207" s="71"/>
      <c r="V207" s="68"/>
      <c r="W207" s="72"/>
      <c r="X207" s="72"/>
      <c r="Y207" s="72"/>
      <c r="Z207" s="73"/>
      <c r="AA207" s="321"/>
      <c r="AB207" s="74"/>
      <c r="AC207" s="69"/>
      <c r="AD207" s="69"/>
      <c r="AE207" s="67"/>
      <c r="AF207" s="8"/>
      <c r="AG207" s="8"/>
      <c r="AH207" s="64"/>
      <c r="AI207" s="289"/>
      <c r="AJ207" s="109"/>
      <c r="AK207" s="109"/>
      <c r="AL207" s="286"/>
      <c r="AM207" s="62"/>
      <c r="AN207" s="287"/>
      <c r="AO207" s="62"/>
      <c r="AP207" s="62"/>
      <c r="AQ207" s="62"/>
      <c r="AR207" s="109"/>
      <c r="AS207" s="8"/>
      <c r="AT207" s="64"/>
      <c r="AU207" s="64"/>
      <c r="AV207" s="64"/>
      <c r="AW207" s="64"/>
      <c r="AX207" s="64"/>
      <c r="AY207" s="8"/>
      <c r="AZ207" s="62"/>
    </row>
    <row r="208" spans="1:52" x14ac:dyDescent="0.35">
      <c r="A208" s="8"/>
      <c r="B208" s="8"/>
      <c r="C208" s="8"/>
      <c r="D208" s="8"/>
      <c r="E208" s="64"/>
      <c r="F208" s="64"/>
      <c r="G208" s="8"/>
      <c r="H208" s="65"/>
      <c r="I208" s="66"/>
      <c r="J208" s="67"/>
      <c r="K208" s="68"/>
      <c r="L208" s="69"/>
      <c r="M208" s="69"/>
      <c r="N208" s="69"/>
      <c r="O208" s="69"/>
      <c r="P208" s="69"/>
      <c r="Q208" s="69"/>
      <c r="R208" s="65"/>
      <c r="S208" s="64"/>
      <c r="T208" s="70"/>
      <c r="U208" s="71"/>
      <c r="V208" s="68"/>
      <c r="W208" s="72"/>
      <c r="X208" s="72"/>
      <c r="Y208" s="72"/>
      <c r="Z208" s="73"/>
      <c r="AA208" s="321"/>
      <c r="AB208" s="74"/>
      <c r="AC208" s="69"/>
      <c r="AD208" s="69"/>
      <c r="AE208" s="67"/>
      <c r="AF208" s="8"/>
      <c r="AG208" s="8"/>
      <c r="AH208" s="64"/>
      <c r="AI208" s="289"/>
      <c r="AJ208" s="109"/>
      <c r="AK208" s="109"/>
      <c r="AL208" s="286"/>
      <c r="AM208" s="62"/>
      <c r="AN208" s="287"/>
      <c r="AO208" s="62"/>
      <c r="AP208" s="62"/>
      <c r="AQ208" s="62"/>
      <c r="AR208" s="109"/>
      <c r="AS208" s="8"/>
      <c r="AT208" s="64"/>
      <c r="AU208" s="64"/>
      <c r="AV208" s="64"/>
      <c r="AW208" s="64"/>
      <c r="AX208" s="64"/>
      <c r="AY208" s="8"/>
      <c r="AZ208" s="62"/>
    </row>
    <row r="209" spans="1:52" x14ac:dyDescent="0.35">
      <c r="A209" s="8"/>
      <c r="B209" s="8"/>
      <c r="C209" s="8"/>
      <c r="D209" s="8"/>
      <c r="E209" s="64"/>
      <c r="F209" s="64"/>
      <c r="G209" s="8"/>
      <c r="H209" s="65"/>
      <c r="I209" s="66"/>
      <c r="J209" s="67"/>
      <c r="K209" s="68"/>
      <c r="L209" s="69"/>
      <c r="M209" s="69"/>
      <c r="N209" s="69"/>
      <c r="O209" s="69"/>
      <c r="P209" s="69"/>
      <c r="Q209" s="69"/>
      <c r="R209" s="65"/>
      <c r="S209" s="64"/>
      <c r="T209" s="70"/>
      <c r="U209" s="71"/>
      <c r="V209" s="68"/>
      <c r="W209" s="72"/>
      <c r="X209" s="72"/>
      <c r="Y209" s="72"/>
      <c r="Z209" s="73"/>
      <c r="AA209" s="321"/>
      <c r="AB209" s="74"/>
      <c r="AC209" s="69"/>
      <c r="AD209" s="69"/>
      <c r="AE209" s="67"/>
      <c r="AF209" s="8"/>
      <c r="AG209" s="8"/>
      <c r="AH209" s="64"/>
      <c r="AI209" s="289"/>
      <c r="AJ209" s="109"/>
      <c r="AK209" s="109"/>
      <c r="AL209" s="286"/>
      <c r="AM209" s="62"/>
      <c r="AN209" s="287"/>
      <c r="AO209" s="62"/>
      <c r="AP209" s="62"/>
      <c r="AQ209" s="62"/>
      <c r="AR209" s="109"/>
      <c r="AS209" s="8"/>
      <c r="AT209" s="64"/>
      <c r="AU209" s="64"/>
      <c r="AV209" s="64"/>
      <c r="AW209" s="64"/>
      <c r="AX209" s="64"/>
      <c r="AY209" s="8"/>
      <c r="AZ209" s="62"/>
    </row>
    <row r="210" spans="1:52" x14ac:dyDescent="0.35">
      <c r="A210" s="8"/>
      <c r="B210" s="8"/>
      <c r="C210" s="8"/>
      <c r="D210" s="8"/>
      <c r="E210" s="64"/>
      <c r="F210" s="64"/>
      <c r="G210" s="8"/>
      <c r="H210" s="65"/>
      <c r="I210" s="66"/>
      <c r="J210" s="67"/>
      <c r="K210" s="68"/>
      <c r="L210" s="69"/>
      <c r="M210" s="69"/>
      <c r="N210" s="69"/>
      <c r="O210" s="69"/>
      <c r="P210" s="69"/>
      <c r="Q210" s="69"/>
      <c r="R210" s="65"/>
      <c r="S210" s="64"/>
      <c r="T210" s="70"/>
      <c r="U210" s="71"/>
      <c r="V210" s="68"/>
      <c r="W210" s="72"/>
      <c r="X210" s="72"/>
      <c r="Y210" s="72"/>
      <c r="Z210" s="73"/>
      <c r="AA210" s="321"/>
      <c r="AB210" s="74"/>
      <c r="AC210" s="69"/>
      <c r="AD210" s="69"/>
      <c r="AE210" s="67"/>
      <c r="AF210" s="8"/>
      <c r="AG210" s="8"/>
      <c r="AH210" s="64"/>
      <c r="AI210" s="289"/>
      <c r="AJ210" s="109"/>
      <c r="AK210" s="109"/>
      <c r="AL210" s="286"/>
      <c r="AM210" s="62"/>
      <c r="AN210" s="287"/>
      <c r="AO210" s="62"/>
      <c r="AP210" s="62"/>
      <c r="AQ210" s="62"/>
      <c r="AR210" s="109"/>
      <c r="AS210" s="8"/>
      <c r="AT210" s="64"/>
      <c r="AU210" s="64"/>
      <c r="AV210" s="64"/>
      <c r="AW210" s="64"/>
      <c r="AX210" s="64"/>
      <c r="AY210" s="8"/>
      <c r="AZ210" s="62"/>
    </row>
    <row r="211" spans="1:52" x14ac:dyDescent="0.35">
      <c r="A211" s="8"/>
      <c r="B211" s="8"/>
      <c r="C211" s="8"/>
      <c r="D211" s="8"/>
      <c r="E211" s="64"/>
      <c r="F211" s="64"/>
      <c r="G211" s="8"/>
      <c r="H211" s="65"/>
      <c r="I211" s="66"/>
      <c r="J211" s="67"/>
      <c r="K211" s="68"/>
      <c r="L211" s="69"/>
      <c r="M211" s="69"/>
      <c r="N211" s="69"/>
      <c r="O211" s="69"/>
      <c r="P211" s="69"/>
      <c r="Q211" s="69"/>
      <c r="R211" s="65"/>
      <c r="S211" s="64"/>
      <c r="T211" s="70"/>
      <c r="U211" s="71"/>
      <c r="V211" s="68"/>
      <c r="W211" s="72"/>
      <c r="X211" s="72"/>
      <c r="Y211" s="72"/>
      <c r="Z211" s="73"/>
      <c r="AA211" s="321"/>
      <c r="AB211" s="74"/>
      <c r="AC211" s="69"/>
      <c r="AD211" s="69"/>
      <c r="AE211" s="67"/>
      <c r="AF211" s="8"/>
      <c r="AG211" s="8"/>
      <c r="AH211" s="64"/>
      <c r="AI211" s="289"/>
      <c r="AJ211" s="109"/>
      <c r="AK211" s="109"/>
      <c r="AL211" s="286"/>
      <c r="AM211" s="62"/>
      <c r="AN211" s="287"/>
      <c r="AO211" s="62"/>
      <c r="AP211" s="62"/>
      <c r="AQ211" s="62"/>
      <c r="AR211" s="109"/>
      <c r="AS211" s="8"/>
      <c r="AT211" s="64"/>
      <c r="AU211" s="64"/>
      <c r="AV211" s="64"/>
      <c r="AW211" s="64"/>
      <c r="AX211" s="64"/>
      <c r="AY211" s="8"/>
      <c r="AZ211" s="62"/>
    </row>
    <row r="212" spans="1:52" x14ac:dyDescent="0.35">
      <c r="A212" s="8"/>
      <c r="B212" s="8"/>
      <c r="C212" s="8"/>
      <c r="D212" s="8"/>
      <c r="E212" s="64"/>
      <c r="F212" s="64"/>
      <c r="G212" s="8"/>
      <c r="H212" s="65"/>
      <c r="I212" s="66"/>
      <c r="J212" s="67"/>
      <c r="K212" s="68"/>
      <c r="L212" s="69"/>
      <c r="M212" s="69"/>
      <c r="N212" s="69"/>
      <c r="O212" s="69"/>
      <c r="P212" s="69"/>
      <c r="Q212" s="69"/>
      <c r="R212" s="65"/>
      <c r="S212" s="64"/>
      <c r="T212" s="70"/>
      <c r="U212" s="71"/>
      <c r="V212" s="68"/>
      <c r="W212" s="72"/>
      <c r="X212" s="72"/>
      <c r="Y212" s="72"/>
      <c r="Z212" s="73"/>
      <c r="AA212" s="321"/>
      <c r="AB212" s="74"/>
      <c r="AC212" s="69"/>
      <c r="AD212" s="69"/>
      <c r="AE212" s="67"/>
      <c r="AF212" s="8"/>
      <c r="AG212" s="8"/>
      <c r="AH212" s="64"/>
      <c r="AI212" s="289"/>
      <c r="AJ212" s="109"/>
      <c r="AK212" s="109"/>
      <c r="AL212" s="286"/>
      <c r="AM212" s="62"/>
      <c r="AN212" s="287"/>
      <c r="AO212" s="62"/>
      <c r="AP212" s="62"/>
      <c r="AQ212" s="62"/>
      <c r="AR212" s="109"/>
      <c r="AS212" s="8"/>
      <c r="AT212" s="64"/>
      <c r="AU212" s="64"/>
      <c r="AV212" s="64"/>
      <c r="AW212" s="64"/>
      <c r="AX212" s="64"/>
      <c r="AY212" s="8"/>
      <c r="AZ212" s="62"/>
    </row>
    <row r="213" spans="1:52" x14ac:dyDescent="0.35">
      <c r="A213" s="8"/>
      <c r="B213" s="8"/>
      <c r="C213" s="8"/>
      <c r="D213" s="8"/>
      <c r="E213" s="64"/>
      <c r="F213" s="64"/>
      <c r="G213" s="8"/>
      <c r="H213" s="65"/>
      <c r="I213" s="66"/>
      <c r="J213" s="67"/>
      <c r="K213" s="68"/>
      <c r="L213" s="69"/>
      <c r="M213" s="69"/>
      <c r="N213" s="69"/>
      <c r="O213" s="69"/>
      <c r="P213" s="69"/>
      <c r="Q213" s="69"/>
      <c r="R213" s="65"/>
      <c r="S213" s="64"/>
      <c r="T213" s="70"/>
      <c r="U213" s="71"/>
      <c r="V213" s="68"/>
      <c r="W213" s="72"/>
      <c r="X213" s="72"/>
      <c r="Y213" s="72"/>
      <c r="Z213" s="73"/>
      <c r="AA213" s="321"/>
      <c r="AB213" s="74"/>
      <c r="AC213" s="69"/>
      <c r="AD213" s="69"/>
      <c r="AE213" s="67"/>
      <c r="AF213" s="8"/>
      <c r="AG213" s="8"/>
      <c r="AH213" s="64"/>
      <c r="AI213" s="289"/>
      <c r="AJ213" s="109"/>
      <c r="AK213" s="109"/>
      <c r="AL213" s="286"/>
      <c r="AM213" s="62"/>
      <c r="AN213" s="287"/>
      <c r="AO213" s="62"/>
      <c r="AP213" s="62"/>
      <c r="AQ213" s="62"/>
      <c r="AR213" s="109"/>
      <c r="AS213" s="8"/>
      <c r="AT213" s="64"/>
      <c r="AU213" s="64"/>
      <c r="AV213" s="64"/>
      <c r="AW213" s="64"/>
      <c r="AX213" s="64"/>
      <c r="AY213" s="8"/>
      <c r="AZ213" s="62"/>
    </row>
    <row r="214" spans="1:52" x14ac:dyDescent="0.35">
      <c r="A214" s="8"/>
      <c r="B214" s="8"/>
      <c r="C214" s="8"/>
      <c r="D214" s="8"/>
      <c r="E214" s="64"/>
      <c r="F214" s="64"/>
      <c r="G214" s="8"/>
      <c r="H214" s="65"/>
      <c r="I214" s="66"/>
      <c r="J214" s="67"/>
      <c r="K214" s="68"/>
      <c r="L214" s="69"/>
      <c r="M214" s="69"/>
      <c r="N214" s="69"/>
      <c r="O214" s="69"/>
      <c r="P214" s="69"/>
      <c r="Q214" s="69"/>
      <c r="R214" s="65"/>
      <c r="S214" s="64"/>
      <c r="T214" s="70"/>
      <c r="U214" s="71"/>
      <c r="V214" s="68"/>
      <c r="W214" s="72"/>
      <c r="X214" s="72"/>
      <c r="Y214" s="72"/>
      <c r="Z214" s="73"/>
      <c r="AA214" s="321"/>
      <c r="AB214" s="74"/>
      <c r="AC214" s="69"/>
      <c r="AD214" s="69"/>
      <c r="AE214" s="67"/>
      <c r="AF214" s="8"/>
      <c r="AG214" s="8"/>
      <c r="AH214" s="64"/>
      <c r="AI214" s="289"/>
      <c r="AJ214" s="109"/>
      <c r="AK214" s="109"/>
      <c r="AL214" s="286"/>
      <c r="AM214" s="62"/>
      <c r="AN214" s="287"/>
      <c r="AO214" s="62"/>
      <c r="AP214" s="62"/>
      <c r="AQ214" s="62"/>
      <c r="AR214" s="109"/>
      <c r="AS214" s="8"/>
      <c r="AT214" s="64"/>
      <c r="AU214" s="64"/>
      <c r="AV214" s="64"/>
      <c r="AW214" s="64"/>
      <c r="AX214" s="64"/>
      <c r="AY214" s="8"/>
      <c r="AZ214" s="62"/>
    </row>
    <row r="215" spans="1:52" x14ac:dyDescent="0.35">
      <c r="A215" s="8"/>
      <c r="B215" s="8"/>
      <c r="C215" s="8"/>
      <c r="D215" s="8"/>
      <c r="E215" s="64"/>
      <c r="F215" s="64"/>
      <c r="G215" s="8"/>
      <c r="H215" s="65"/>
      <c r="I215" s="66"/>
      <c r="J215" s="67"/>
      <c r="K215" s="68"/>
      <c r="L215" s="69"/>
      <c r="M215" s="69"/>
      <c r="N215" s="69"/>
      <c r="O215" s="69"/>
      <c r="P215" s="69"/>
      <c r="Q215" s="69"/>
      <c r="R215" s="65"/>
      <c r="S215" s="64"/>
      <c r="T215" s="70"/>
      <c r="U215" s="71"/>
      <c r="V215" s="68"/>
      <c r="W215" s="72"/>
      <c r="X215" s="72"/>
      <c r="Y215" s="72"/>
      <c r="Z215" s="73"/>
      <c r="AA215" s="321"/>
      <c r="AB215" s="74"/>
      <c r="AC215" s="69"/>
      <c r="AD215" s="69"/>
      <c r="AE215" s="67"/>
      <c r="AF215" s="8"/>
      <c r="AG215" s="8"/>
      <c r="AH215" s="64"/>
      <c r="AI215" s="289"/>
      <c r="AJ215" s="109"/>
      <c r="AK215" s="109"/>
      <c r="AL215" s="286"/>
      <c r="AM215" s="62"/>
      <c r="AN215" s="287"/>
      <c r="AO215" s="62"/>
      <c r="AP215" s="62"/>
      <c r="AQ215" s="62"/>
      <c r="AR215" s="109"/>
      <c r="AS215" s="8"/>
      <c r="AT215" s="64"/>
      <c r="AU215" s="64"/>
      <c r="AV215" s="64"/>
      <c r="AW215" s="64"/>
      <c r="AX215" s="64"/>
      <c r="AY215" s="8"/>
      <c r="AZ215" s="62"/>
    </row>
    <row r="216" spans="1:52" x14ac:dyDescent="0.35">
      <c r="A216" s="8"/>
      <c r="B216" s="8"/>
      <c r="C216" s="8"/>
      <c r="D216" s="8"/>
      <c r="E216" s="64"/>
      <c r="F216" s="64"/>
      <c r="G216" s="8"/>
      <c r="H216" s="65"/>
      <c r="I216" s="66"/>
      <c r="J216" s="67"/>
      <c r="K216" s="68"/>
      <c r="L216" s="69"/>
      <c r="M216" s="69"/>
      <c r="N216" s="69"/>
      <c r="O216" s="69"/>
      <c r="P216" s="69"/>
      <c r="Q216" s="69"/>
      <c r="R216" s="65"/>
      <c r="S216" s="64"/>
      <c r="T216" s="70"/>
      <c r="U216" s="71"/>
      <c r="V216" s="68"/>
      <c r="W216" s="72"/>
      <c r="X216" s="72"/>
      <c r="Y216" s="72"/>
      <c r="Z216" s="73"/>
      <c r="AA216" s="321"/>
      <c r="AB216" s="74"/>
      <c r="AC216" s="69"/>
      <c r="AD216" s="69"/>
      <c r="AE216" s="67"/>
      <c r="AF216" s="8"/>
      <c r="AG216" s="8"/>
      <c r="AH216" s="64"/>
      <c r="AI216" s="289"/>
      <c r="AJ216" s="109"/>
      <c r="AK216" s="109"/>
      <c r="AL216" s="286"/>
      <c r="AM216" s="62"/>
      <c r="AN216" s="287"/>
      <c r="AO216" s="62"/>
      <c r="AP216" s="62"/>
      <c r="AQ216" s="62"/>
      <c r="AR216" s="109"/>
      <c r="AS216" s="8"/>
      <c r="AT216" s="64"/>
      <c r="AU216" s="64"/>
      <c r="AV216" s="64"/>
      <c r="AW216" s="64"/>
      <c r="AX216" s="64"/>
      <c r="AY216" s="8"/>
      <c r="AZ216" s="62"/>
    </row>
    <row r="217" spans="1:52" x14ac:dyDescent="0.35">
      <c r="A217" s="8"/>
      <c r="B217" s="8"/>
      <c r="C217" s="8"/>
      <c r="D217" s="8"/>
      <c r="E217" s="64"/>
      <c r="F217" s="64"/>
      <c r="G217" s="8"/>
      <c r="H217" s="65"/>
      <c r="I217" s="66"/>
      <c r="J217" s="67"/>
      <c r="K217" s="68"/>
      <c r="L217" s="69"/>
      <c r="M217" s="69"/>
      <c r="N217" s="69"/>
      <c r="O217" s="69"/>
      <c r="P217" s="69"/>
      <c r="Q217" s="69"/>
      <c r="R217" s="65"/>
      <c r="S217" s="64"/>
      <c r="T217" s="70"/>
      <c r="U217" s="71"/>
      <c r="V217" s="68"/>
      <c r="W217" s="72"/>
      <c r="X217" s="72"/>
      <c r="Y217" s="72"/>
      <c r="Z217" s="73"/>
      <c r="AA217" s="321"/>
      <c r="AB217" s="74"/>
      <c r="AC217" s="69"/>
      <c r="AD217" s="69"/>
      <c r="AE217" s="67"/>
      <c r="AF217" s="8"/>
      <c r="AG217" s="8"/>
      <c r="AH217" s="64"/>
      <c r="AI217" s="289"/>
      <c r="AJ217" s="109"/>
      <c r="AK217" s="109"/>
      <c r="AL217" s="286"/>
      <c r="AM217" s="62"/>
      <c r="AN217" s="287"/>
      <c r="AO217" s="62"/>
      <c r="AP217" s="62"/>
      <c r="AQ217" s="62"/>
      <c r="AR217" s="109"/>
      <c r="AS217" s="8"/>
      <c r="AT217" s="64"/>
      <c r="AU217" s="64"/>
      <c r="AV217" s="64"/>
      <c r="AW217" s="64"/>
      <c r="AX217" s="64"/>
      <c r="AY217" s="8"/>
      <c r="AZ217" s="62"/>
    </row>
    <row r="218" spans="1:52" x14ac:dyDescent="0.35">
      <c r="A218" s="8"/>
      <c r="B218" s="8"/>
      <c r="C218" s="8"/>
      <c r="D218" s="8"/>
      <c r="E218" s="64"/>
      <c r="F218" s="64"/>
      <c r="G218" s="8"/>
      <c r="H218" s="65"/>
      <c r="I218" s="66"/>
      <c r="J218" s="67"/>
      <c r="K218" s="68"/>
      <c r="L218" s="69"/>
      <c r="M218" s="69"/>
      <c r="N218" s="69"/>
      <c r="O218" s="69"/>
      <c r="P218" s="69"/>
      <c r="Q218" s="69"/>
      <c r="R218" s="65"/>
      <c r="S218" s="64"/>
      <c r="T218" s="70"/>
      <c r="U218" s="71"/>
      <c r="V218" s="68"/>
      <c r="W218" s="72"/>
      <c r="X218" s="72"/>
      <c r="Y218" s="72"/>
      <c r="Z218" s="73"/>
      <c r="AA218" s="321"/>
      <c r="AB218" s="74"/>
      <c r="AC218" s="69"/>
      <c r="AD218" s="69"/>
      <c r="AE218" s="67"/>
      <c r="AF218" s="8"/>
      <c r="AG218" s="8"/>
      <c r="AH218" s="64"/>
      <c r="AI218" s="289"/>
      <c r="AJ218" s="109"/>
      <c r="AK218" s="109"/>
      <c r="AL218" s="286"/>
      <c r="AM218" s="62"/>
      <c r="AN218" s="287"/>
      <c r="AO218" s="62"/>
      <c r="AP218" s="62"/>
      <c r="AQ218" s="62"/>
      <c r="AR218" s="109"/>
      <c r="AS218" s="8"/>
      <c r="AT218" s="64"/>
      <c r="AU218" s="64"/>
      <c r="AV218" s="64"/>
      <c r="AW218" s="64"/>
      <c r="AX218" s="64"/>
      <c r="AY218" s="8"/>
      <c r="AZ218" s="62"/>
    </row>
    <row r="219" spans="1:52" x14ac:dyDescent="0.35">
      <c r="A219" s="8"/>
      <c r="B219" s="8"/>
      <c r="C219" s="8"/>
      <c r="D219" s="8"/>
      <c r="E219" s="64"/>
      <c r="F219" s="64"/>
      <c r="G219" s="8"/>
      <c r="H219" s="65"/>
      <c r="I219" s="66"/>
      <c r="J219" s="67"/>
      <c r="K219" s="68"/>
      <c r="L219" s="69"/>
      <c r="M219" s="69"/>
      <c r="N219" s="69"/>
      <c r="O219" s="69"/>
      <c r="P219" s="69"/>
      <c r="Q219" s="69"/>
      <c r="R219" s="65"/>
      <c r="S219" s="64"/>
      <c r="T219" s="70"/>
      <c r="U219" s="71"/>
      <c r="V219" s="68"/>
      <c r="W219" s="72"/>
      <c r="X219" s="72"/>
      <c r="Y219" s="72"/>
      <c r="Z219" s="73"/>
      <c r="AA219" s="321"/>
      <c r="AB219" s="74"/>
      <c r="AC219" s="69"/>
      <c r="AD219" s="69"/>
      <c r="AE219" s="67"/>
      <c r="AF219" s="8"/>
      <c r="AG219" s="8"/>
      <c r="AH219" s="64"/>
      <c r="AI219" s="289"/>
      <c r="AJ219" s="109"/>
      <c r="AK219" s="109"/>
      <c r="AL219" s="286"/>
      <c r="AM219" s="62"/>
      <c r="AN219" s="287"/>
      <c r="AO219" s="62"/>
      <c r="AP219" s="62"/>
      <c r="AQ219" s="62"/>
      <c r="AR219" s="109"/>
      <c r="AS219" s="8"/>
      <c r="AT219" s="64"/>
      <c r="AU219" s="64"/>
      <c r="AV219" s="64"/>
      <c r="AW219" s="64"/>
      <c r="AX219" s="64"/>
      <c r="AY219" s="8"/>
      <c r="AZ219" s="62"/>
    </row>
    <row r="220" spans="1:52" x14ac:dyDescent="0.35">
      <c r="A220" s="8"/>
      <c r="B220" s="8"/>
      <c r="C220" s="8"/>
      <c r="D220" s="8"/>
      <c r="E220" s="64"/>
      <c r="F220" s="64"/>
      <c r="G220" s="8"/>
      <c r="H220" s="65"/>
      <c r="I220" s="66"/>
      <c r="J220" s="67"/>
      <c r="K220" s="68"/>
      <c r="L220" s="69"/>
      <c r="M220" s="69"/>
      <c r="N220" s="69"/>
      <c r="O220" s="69"/>
      <c r="P220" s="69"/>
      <c r="Q220" s="69"/>
      <c r="R220" s="65"/>
      <c r="S220" s="64"/>
      <c r="T220" s="70"/>
      <c r="U220" s="71"/>
      <c r="V220" s="68"/>
      <c r="W220" s="72"/>
      <c r="X220" s="72"/>
      <c r="Y220" s="72"/>
      <c r="Z220" s="73"/>
      <c r="AA220" s="321"/>
      <c r="AB220" s="74"/>
      <c r="AC220" s="69"/>
      <c r="AD220" s="69"/>
      <c r="AE220" s="67"/>
      <c r="AF220" s="8"/>
      <c r="AG220" s="8"/>
      <c r="AH220" s="64"/>
      <c r="AI220" s="289"/>
      <c r="AJ220" s="109"/>
      <c r="AK220" s="109"/>
      <c r="AL220" s="286"/>
      <c r="AM220" s="62"/>
      <c r="AN220" s="287"/>
      <c r="AO220" s="62"/>
      <c r="AP220" s="62"/>
      <c r="AQ220" s="62"/>
      <c r="AR220" s="109"/>
      <c r="AS220" s="8"/>
      <c r="AT220" s="64"/>
      <c r="AU220" s="64"/>
      <c r="AV220" s="64"/>
      <c r="AW220" s="64"/>
      <c r="AX220" s="64"/>
      <c r="AY220" s="8"/>
      <c r="AZ220" s="62"/>
    </row>
    <row r="221" spans="1:52" x14ac:dyDescent="0.35">
      <c r="A221" s="8"/>
      <c r="B221" s="8"/>
      <c r="C221" s="8"/>
      <c r="D221" s="8"/>
      <c r="E221" s="64"/>
      <c r="F221" s="64"/>
      <c r="G221" s="8"/>
      <c r="H221" s="65"/>
      <c r="I221" s="66"/>
      <c r="J221" s="67"/>
      <c r="K221" s="68"/>
      <c r="L221" s="69"/>
      <c r="M221" s="69"/>
      <c r="N221" s="69"/>
      <c r="O221" s="69"/>
      <c r="P221" s="69"/>
      <c r="Q221" s="69"/>
      <c r="R221" s="65"/>
      <c r="S221" s="64"/>
      <c r="T221" s="70"/>
      <c r="U221" s="71"/>
      <c r="V221" s="68"/>
      <c r="W221" s="72"/>
      <c r="X221" s="72"/>
      <c r="Y221" s="72"/>
      <c r="Z221" s="73"/>
      <c r="AA221" s="321"/>
      <c r="AB221" s="74"/>
      <c r="AC221" s="69"/>
      <c r="AD221" s="69"/>
      <c r="AE221" s="67"/>
      <c r="AF221" s="8"/>
      <c r="AG221" s="8"/>
      <c r="AH221" s="64"/>
      <c r="AI221" s="289"/>
      <c r="AJ221" s="109"/>
      <c r="AK221" s="109"/>
      <c r="AL221" s="286"/>
      <c r="AM221" s="62"/>
      <c r="AN221" s="287"/>
      <c r="AO221" s="62"/>
      <c r="AP221" s="62"/>
      <c r="AQ221" s="62"/>
      <c r="AR221" s="109"/>
      <c r="AS221" s="8"/>
      <c r="AT221" s="64"/>
      <c r="AU221" s="64"/>
      <c r="AV221" s="64"/>
      <c r="AW221" s="64"/>
      <c r="AX221" s="64"/>
      <c r="AY221" s="8"/>
      <c r="AZ221" s="62"/>
    </row>
    <row r="222" spans="1:52" x14ac:dyDescent="0.35">
      <c r="A222" s="8"/>
      <c r="B222" s="8"/>
      <c r="C222" s="8"/>
      <c r="D222" s="8"/>
      <c r="E222" s="64"/>
      <c r="F222" s="64"/>
      <c r="G222" s="8"/>
      <c r="H222" s="65"/>
      <c r="I222" s="66"/>
      <c r="J222" s="67"/>
      <c r="K222" s="68"/>
      <c r="L222" s="69"/>
      <c r="M222" s="69"/>
      <c r="N222" s="69"/>
      <c r="O222" s="69"/>
      <c r="P222" s="69"/>
      <c r="Q222" s="69"/>
      <c r="R222" s="65"/>
      <c r="S222" s="64"/>
      <c r="T222" s="70"/>
      <c r="U222" s="71"/>
      <c r="V222" s="68"/>
      <c r="W222" s="72"/>
      <c r="X222" s="72"/>
      <c r="Y222" s="72"/>
      <c r="Z222" s="73"/>
      <c r="AA222" s="321"/>
      <c r="AB222" s="74"/>
      <c r="AC222" s="69"/>
      <c r="AD222" s="69"/>
      <c r="AE222" s="67"/>
      <c r="AF222" s="8"/>
      <c r="AG222" s="8"/>
      <c r="AH222" s="64"/>
      <c r="AI222" s="289"/>
      <c r="AJ222" s="109"/>
      <c r="AK222" s="109"/>
      <c r="AL222" s="286"/>
      <c r="AM222" s="62"/>
      <c r="AN222" s="287"/>
      <c r="AO222" s="62"/>
      <c r="AP222" s="62"/>
      <c r="AQ222" s="62"/>
      <c r="AR222" s="109"/>
      <c r="AS222" s="8"/>
      <c r="AT222" s="64"/>
      <c r="AU222" s="64"/>
      <c r="AV222" s="64"/>
      <c r="AW222" s="64"/>
      <c r="AX222" s="64"/>
      <c r="AY222" s="8"/>
      <c r="AZ222" s="62"/>
    </row>
    <row r="223" spans="1:52" x14ac:dyDescent="0.35">
      <c r="A223" s="8"/>
      <c r="B223" s="8"/>
      <c r="C223" s="8"/>
      <c r="D223" s="8"/>
      <c r="E223" s="64"/>
      <c r="F223" s="64"/>
      <c r="G223" s="8"/>
      <c r="H223" s="65"/>
      <c r="I223" s="66"/>
      <c r="J223" s="67"/>
      <c r="K223" s="68"/>
      <c r="L223" s="69"/>
      <c r="M223" s="69"/>
      <c r="N223" s="69"/>
      <c r="O223" s="69"/>
      <c r="P223" s="69"/>
      <c r="Q223" s="69"/>
      <c r="R223" s="65"/>
      <c r="S223" s="64"/>
      <c r="T223" s="70"/>
      <c r="U223" s="71"/>
      <c r="V223" s="68"/>
      <c r="W223" s="72"/>
      <c r="X223" s="72"/>
      <c r="Y223" s="72"/>
      <c r="Z223" s="73"/>
      <c r="AA223" s="321"/>
      <c r="AB223" s="74"/>
      <c r="AC223" s="69"/>
      <c r="AD223" s="69"/>
      <c r="AE223" s="67"/>
      <c r="AF223" s="8"/>
      <c r="AG223" s="8"/>
      <c r="AH223" s="64"/>
      <c r="AI223" s="289"/>
      <c r="AJ223" s="109"/>
      <c r="AK223" s="109"/>
      <c r="AL223" s="286"/>
      <c r="AM223" s="62"/>
      <c r="AN223" s="287"/>
      <c r="AO223" s="62"/>
      <c r="AP223" s="62"/>
      <c r="AQ223" s="62"/>
      <c r="AR223" s="109"/>
      <c r="AS223" s="8"/>
      <c r="AT223" s="64"/>
      <c r="AU223" s="64"/>
      <c r="AV223" s="64"/>
      <c r="AW223" s="64"/>
      <c r="AX223" s="64"/>
      <c r="AY223" s="8"/>
      <c r="AZ223" s="62"/>
    </row>
    <row r="224" spans="1:52" x14ac:dyDescent="0.35">
      <c r="A224" s="8"/>
      <c r="B224" s="8"/>
      <c r="C224" s="8"/>
      <c r="D224" s="8"/>
      <c r="E224" s="64"/>
      <c r="F224" s="64"/>
      <c r="G224" s="8"/>
      <c r="H224" s="65"/>
      <c r="I224" s="66"/>
      <c r="J224" s="67"/>
      <c r="K224" s="68"/>
      <c r="L224" s="69"/>
      <c r="M224" s="69"/>
      <c r="N224" s="69"/>
      <c r="O224" s="69"/>
      <c r="P224" s="69"/>
      <c r="Q224" s="69"/>
      <c r="R224" s="65"/>
      <c r="S224" s="64"/>
      <c r="T224" s="70"/>
      <c r="U224" s="71"/>
      <c r="V224" s="68"/>
      <c r="W224" s="72"/>
      <c r="X224" s="72"/>
      <c r="Y224" s="72"/>
      <c r="Z224" s="73"/>
      <c r="AA224" s="321"/>
      <c r="AB224" s="74"/>
      <c r="AC224" s="69"/>
      <c r="AD224" s="69"/>
      <c r="AE224" s="67"/>
      <c r="AF224" s="8"/>
      <c r="AG224" s="8"/>
      <c r="AH224" s="64"/>
      <c r="AI224" s="289"/>
      <c r="AJ224" s="109"/>
      <c r="AK224" s="109"/>
      <c r="AL224" s="286"/>
      <c r="AM224" s="62"/>
      <c r="AN224" s="287"/>
      <c r="AO224" s="62"/>
      <c r="AP224" s="62"/>
      <c r="AQ224" s="62"/>
      <c r="AR224" s="109"/>
      <c r="AS224" s="8"/>
      <c r="AT224" s="64"/>
      <c r="AU224" s="64"/>
      <c r="AV224" s="64"/>
      <c r="AW224" s="64"/>
      <c r="AX224" s="64"/>
      <c r="AY224" s="8"/>
      <c r="AZ224" s="62"/>
    </row>
    <row r="225" spans="1:52" x14ac:dyDescent="0.35">
      <c r="A225" s="8"/>
      <c r="B225" s="8"/>
      <c r="C225" s="8"/>
      <c r="D225" s="8"/>
      <c r="E225" s="64"/>
      <c r="F225" s="64"/>
      <c r="G225" s="8"/>
      <c r="H225" s="65"/>
      <c r="I225" s="66"/>
      <c r="J225" s="67"/>
      <c r="K225" s="68"/>
      <c r="L225" s="69"/>
      <c r="M225" s="69"/>
      <c r="N225" s="69"/>
      <c r="O225" s="69"/>
      <c r="P225" s="69"/>
      <c r="Q225" s="69"/>
      <c r="R225" s="65"/>
      <c r="S225" s="64"/>
      <c r="T225" s="70"/>
      <c r="U225" s="71"/>
      <c r="V225" s="68"/>
      <c r="W225" s="72"/>
      <c r="X225" s="72"/>
      <c r="Y225" s="72"/>
      <c r="Z225" s="73"/>
      <c r="AA225" s="321"/>
      <c r="AB225" s="74"/>
      <c r="AC225" s="69"/>
      <c r="AD225" s="69"/>
      <c r="AE225" s="67"/>
      <c r="AF225" s="8"/>
      <c r="AG225" s="8"/>
      <c r="AH225" s="64"/>
      <c r="AI225" s="289"/>
      <c r="AJ225" s="109"/>
      <c r="AK225" s="109"/>
      <c r="AL225" s="286"/>
      <c r="AM225" s="62"/>
      <c r="AN225" s="287"/>
      <c r="AO225" s="62"/>
      <c r="AP225" s="62"/>
      <c r="AQ225" s="62"/>
      <c r="AR225" s="109"/>
      <c r="AS225" s="8"/>
      <c r="AT225" s="64"/>
      <c r="AU225" s="64"/>
      <c r="AV225" s="64"/>
      <c r="AW225" s="64"/>
      <c r="AX225" s="64"/>
      <c r="AY225" s="8"/>
      <c r="AZ225" s="62"/>
    </row>
    <row r="226" spans="1:52" x14ac:dyDescent="0.35">
      <c r="A226" s="8"/>
      <c r="B226" s="8"/>
      <c r="C226" s="8"/>
      <c r="D226" s="8"/>
      <c r="E226" s="64"/>
      <c r="F226" s="64"/>
      <c r="G226" s="8"/>
      <c r="H226" s="65"/>
      <c r="I226" s="66"/>
      <c r="J226" s="67"/>
      <c r="K226" s="68"/>
      <c r="L226" s="69"/>
      <c r="M226" s="69"/>
      <c r="N226" s="69"/>
      <c r="O226" s="69"/>
      <c r="P226" s="69"/>
      <c r="Q226" s="69"/>
      <c r="R226" s="65"/>
      <c r="S226" s="64"/>
      <c r="T226" s="70"/>
      <c r="U226" s="71"/>
      <c r="V226" s="68"/>
      <c r="W226" s="72"/>
      <c r="X226" s="72"/>
      <c r="Y226" s="72"/>
      <c r="Z226" s="73"/>
      <c r="AA226" s="321"/>
      <c r="AB226" s="74"/>
      <c r="AC226" s="69"/>
      <c r="AD226" s="69"/>
      <c r="AE226" s="67"/>
      <c r="AF226" s="8"/>
      <c r="AG226" s="8"/>
      <c r="AH226" s="64"/>
      <c r="AI226" s="289"/>
      <c r="AJ226" s="109"/>
      <c r="AK226" s="109"/>
      <c r="AL226" s="286"/>
      <c r="AM226" s="62"/>
      <c r="AN226" s="287"/>
      <c r="AO226" s="62"/>
      <c r="AP226" s="62"/>
      <c r="AQ226" s="62"/>
      <c r="AR226" s="109"/>
      <c r="AS226" s="8"/>
      <c r="AT226" s="64"/>
      <c r="AU226" s="64"/>
      <c r="AV226" s="64"/>
      <c r="AW226" s="64"/>
      <c r="AX226" s="64"/>
      <c r="AY226" s="8"/>
      <c r="AZ226" s="62"/>
    </row>
    <row r="227" spans="1:52" x14ac:dyDescent="0.35">
      <c r="A227" s="8"/>
      <c r="B227" s="8"/>
      <c r="C227" s="8"/>
      <c r="D227" s="8"/>
      <c r="E227" s="64"/>
      <c r="F227" s="64"/>
      <c r="G227" s="8"/>
      <c r="H227" s="65"/>
      <c r="I227" s="66"/>
      <c r="J227" s="67"/>
      <c r="K227" s="68"/>
      <c r="L227" s="69"/>
      <c r="M227" s="69"/>
      <c r="N227" s="69"/>
      <c r="O227" s="69"/>
      <c r="P227" s="69"/>
      <c r="Q227" s="69"/>
      <c r="R227" s="65"/>
      <c r="S227" s="64"/>
      <c r="T227" s="70"/>
      <c r="U227" s="71"/>
      <c r="V227" s="68"/>
      <c r="W227" s="72"/>
      <c r="X227" s="72"/>
      <c r="Y227" s="72"/>
      <c r="Z227" s="73"/>
      <c r="AA227" s="321"/>
      <c r="AB227" s="74"/>
      <c r="AC227" s="69"/>
      <c r="AD227" s="69"/>
      <c r="AE227" s="67"/>
      <c r="AF227" s="8"/>
      <c r="AG227" s="8"/>
      <c r="AH227" s="64"/>
      <c r="AI227" s="289"/>
      <c r="AJ227" s="109"/>
      <c r="AK227" s="109"/>
      <c r="AL227" s="286"/>
      <c r="AM227" s="62"/>
      <c r="AN227" s="287"/>
      <c r="AO227" s="62"/>
      <c r="AP227" s="62"/>
      <c r="AQ227" s="62"/>
      <c r="AR227" s="109"/>
      <c r="AS227" s="8"/>
      <c r="AT227" s="64"/>
      <c r="AU227" s="64"/>
      <c r="AV227" s="64"/>
      <c r="AW227" s="64"/>
      <c r="AX227" s="64"/>
      <c r="AY227" s="8"/>
      <c r="AZ227" s="62"/>
    </row>
    <row r="228" spans="1:52" x14ac:dyDescent="0.35">
      <c r="A228" s="8"/>
      <c r="B228" s="8"/>
      <c r="C228" s="8"/>
      <c r="D228" s="8"/>
      <c r="E228" s="64"/>
      <c r="F228" s="64"/>
      <c r="G228" s="8"/>
      <c r="H228" s="65"/>
      <c r="I228" s="66"/>
      <c r="J228" s="67"/>
      <c r="K228" s="68"/>
      <c r="L228" s="69"/>
      <c r="M228" s="69"/>
      <c r="N228" s="69"/>
      <c r="O228" s="69"/>
      <c r="P228" s="69"/>
      <c r="Q228" s="69"/>
      <c r="R228" s="65"/>
      <c r="S228" s="64"/>
      <c r="T228" s="70"/>
      <c r="U228" s="71"/>
      <c r="V228" s="68"/>
      <c r="W228" s="72"/>
      <c r="X228" s="72"/>
      <c r="Y228" s="72"/>
      <c r="Z228" s="73"/>
      <c r="AA228" s="321"/>
      <c r="AB228" s="74"/>
      <c r="AC228" s="69"/>
      <c r="AD228" s="69"/>
      <c r="AE228" s="67"/>
      <c r="AF228" s="8"/>
      <c r="AG228" s="8"/>
      <c r="AH228" s="64"/>
      <c r="AI228" s="289"/>
      <c r="AJ228" s="109"/>
      <c r="AK228" s="109"/>
      <c r="AL228" s="286"/>
      <c r="AM228" s="62"/>
      <c r="AN228" s="287"/>
      <c r="AO228" s="62"/>
      <c r="AP228" s="62"/>
      <c r="AQ228" s="62"/>
      <c r="AR228" s="109"/>
      <c r="AS228" s="8"/>
      <c r="AT228" s="64"/>
      <c r="AU228" s="64"/>
      <c r="AV228" s="64"/>
      <c r="AW228" s="64"/>
      <c r="AX228" s="64"/>
      <c r="AY228" s="8"/>
      <c r="AZ228" s="62"/>
    </row>
    <row r="229" spans="1:52" x14ac:dyDescent="0.35">
      <c r="A229" s="8"/>
      <c r="B229" s="8"/>
      <c r="C229" s="8"/>
      <c r="D229" s="8"/>
      <c r="E229" s="64"/>
      <c r="F229" s="64"/>
      <c r="G229" s="8"/>
      <c r="H229" s="65"/>
      <c r="I229" s="66"/>
      <c r="J229" s="67"/>
      <c r="K229" s="68"/>
      <c r="L229" s="69"/>
      <c r="M229" s="69"/>
      <c r="N229" s="69"/>
      <c r="O229" s="69"/>
      <c r="P229" s="69"/>
      <c r="Q229" s="69"/>
      <c r="R229" s="65"/>
      <c r="S229" s="64"/>
      <c r="T229" s="70"/>
      <c r="U229" s="71"/>
      <c r="V229" s="68"/>
      <c r="W229" s="72"/>
      <c r="X229" s="72"/>
      <c r="Y229" s="72"/>
      <c r="Z229" s="73"/>
      <c r="AA229" s="321"/>
      <c r="AB229" s="74"/>
      <c r="AC229" s="69"/>
      <c r="AD229" s="69"/>
      <c r="AE229" s="67"/>
      <c r="AF229" s="8"/>
      <c r="AG229" s="8"/>
      <c r="AH229" s="64"/>
      <c r="AI229" s="289"/>
      <c r="AJ229" s="109"/>
      <c r="AK229" s="109"/>
      <c r="AL229" s="286"/>
      <c r="AM229" s="62"/>
      <c r="AN229" s="287"/>
      <c r="AO229" s="62"/>
      <c r="AP229" s="62"/>
      <c r="AQ229" s="62"/>
      <c r="AR229" s="109"/>
      <c r="AS229" s="8"/>
      <c r="AT229" s="64"/>
      <c r="AU229" s="64"/>
      <c r="AV229" s="64"/>
      <c r="AW229" s="64"/>
      <c r="AX229" s="64"/>
      <c r="AY229" s="8"/>
      <c r="AZ229" s="62"/>
    </row>
    <row r="230" spans="1:52" x14ac:dyDescent="0.35">
      <c r="A230" s="8"/>
      <c r="B230" s="8"/>
      <c r="C230" s="8"/>
      <c r="D230" s="8"/>
      <c r="E230" s="64"/>
      <c r="F230" s="64"/>
      <c r="G230" s="8"/>
      <c r="H230" s="65"/>
      <c r="I230" s="66"/>
      <c r="J230" s="67"/>
      <c r="K230" s="68"/>
      <c r="L230" s="69"/>
      <c r="M230" s="69"/>
      <c r="N230" s="69"/>
      <c r="O230" s="69"/>
      <c r="P230" s="69"/>
      <c r="Q230" s="69"/>
      <c r="R230" s="65"/>
      <c r="S230" s="64"/>
      <c r="T230" s="70"/>
      <c r="U230" s="71"/>
      <c r="V230" s="68"/>
      <c r="W230" s="72"/>
      <c r="X230" s="72"/>
      <c r="Y230" s="72"/>
      <c r="Z230" s="73"/>
      <c r="AA230" s="321"/>
      <c r="AB230" s="74"/>
      <c r="AC230" s="69"/>
      <c r="AD230" s="69"/>
      <c r="AE230" s="67"/>
      <c r="AF230" s="8"/>
      <c r="AG230" s="8"/>
      <c r="AH230" s="64"/>
      <c r="AI230" s="289"/>
      <c r="AJ230" s="109"/>
      <c r="AK230" s="109"/>
      <c r="AL230" s="286"/>
      <c r="AM230" s="62"/>
      <c r="AN230" s="287"/>
      <c r="AO230" s="62"/>
      <c r="AP230" s="62"/>
      <c r="AQ230" s="62"/>
      <c r="AR230" s="109"/>
      <c r="AS230" s="8"/>
      <c r="AT230" s="64"/>
      <c r="AU230" s="64"/>
      <c r="AV230" s="64"/>
      <c r="AW230" s="64"/>
      <c r="AX230" s="64"/>
      <c r="AY230" s="8"/>
      <c r="AZ230" s="62"/>
    </row>
    <row r="231" spans="1:52" x14ac:dyDescent="0.35">
      <c r="A231" s="8"/>
      <c r="B231" s="8"/>
      <c r="C231" s="8"/>
      <c r="D231" s="8"/>
      <c r="E231" s="64"/>
      <c r="F231" s="64"/>
      <c r="G231" s="8"/>
      <c r="H231" s="65"/>
      <c r="I231" s="66"/>
      <c r="J231" s="67"/>
      <c r="K231" s="68"/>
      <c r="L231" s="69"/>
      <c r="M231" s="69"/>
      <c r="N231" s="69"/>
      <c r="O231" s="69"/>
      <c r="P231" s="69"/>
      <c r="Q231" s="69"/>
      <c r="R231" s="65"/>
      <c r="S231" s="64"/>
      <c r="T231" s="70"/>
      <c r="U231" s="71"/>
      <c r="V231" s="68"/>
      <c r="W231" s="72"/>
      <c r="X231" s="72"/>
      <c r="Y231" s="72"/>
      <c r="Z231" s="73"/>
      <c r="AA231" s="321"/>
      <c r="AB231" s="74"/>
      <c r="AC231" s="69"/>
      <c r="AD231" s="69"/>
      <c r="AE231" s="67"/>
      <c r="AF231" s="8"/>
      <c r="AG231" s="8"/>
      <c r="AH231" s="64"/>
      <c r="AI231" s="289"/>
      <c r="AJ231" s="109"/>
      <c r="AK231" s="109"/>
      <c r="AL231" s="286"/>
      <c r="AM231" s="62"/>
      <c r="AN231" s="287"/>
      <c r="AO231" s="62"/>
      <c r="AP231" s="62"/>
      <c r="AQ231" s="62"/>
      <c r="AR231" s="109"/>
      <c r="AS231" s="8"/>
      <c r="AT231" s="64"/>
      <c r="AU231" s="64"/>
      <c r="AV231" s="64"/>
      <c r="AW231" s="64"/>
      <c r="AX231" s="64"/>
      <c r="AY231" s="8"/>
      <c r="AZ231" s="62"/>
    </row>
    <row r="232" spans="1:52" x14ac:dyDescent="0.35">
      <c r="A232" s="8"/>
      <c r="B232" s="8"/>
      <c r="C232" s="8"/>
      <c r="D232" s="8"/>
      <c r="E232" s="64"/>
      <c r="F232" s="64"/>
      <c r="G232" s="8"/>
      <c r="H232" s="65"/>
      <c r="I232" s="66"/>
      <c r="J232" s="67"/>
      <c r="K232" s="68"/>
      <c r="L232" s="69"/>
      <c r="M232" s="69"/>
      <c r="N232" s="69"/>
      <c r="O232" s="69"/>
      <c r="P232" s="69"/>
      <c r="Q232" s="69"/>
      <c r="R232" s="65"/>
      <c r="S232" s="64"/>
      <c r="T232" s="70"/>
      <c r="U232" s="71"/>
      <c r="V232" s="68"/>
      <c r="W232" s="72"/>
      <c r="X232" s="72"/>
      <c r="Y232" s="72"/>
      <c r="Z232" s="73"/>
      <c r="AA232" s="321"/>
      <c r="AB232" s="74"/>
      <c r="AC232" s="69"/>
      <c r="AD232" s="69"/>
      <c r="AE232" s="67"/>
      <c r="AF232" s="8"/>
      <c r="AG232" s="8"/>
      <c r="AH232" s="64"/>
      <c r="AI232" s="289"/>
      <c r="AJ232" s="109"/>
      <c r="AK232" s="109"/>
      <c r="AL232" s="286"/>
      <c r="AM232" s="62"/>
      <c r="AN232" s="287"/>
      <c r="AO232" s="62"/>
      <c r="AP232" s="62"/>
      <c r="AQ232" s="62"/>
      <c r="AR232" s="109"/>
      <c r="AS232" s="8"/>
      <c r="AT232" s="64"/>
      <c r="AU232" s="64"/>
      <c r="AV232" s="64"/>
      <c r="AW232" s="64"/>
      <c r="AX232" s="64"/>
      <c r="AY232" s="8"/>
      <c r="AZ232" s="62"/>
    </row>
    <row r="233" spans="1:52" x14ac:dyDescent="0.35">
      <c r="A233" s="8"/>
      <c r="B233" s="8"/>
      <c r="C233" s="8"/>
      <c r="D233" s="8"/>
      <c r="E233" s="64"/>
      <c r="F233" s="64"/>
      <c r="G233" s="8"/>
      <c r="H233" s="65"/>
      <c r="I233" s="66"/>
      <c r="J233" s="67"/>
      <c r="K233" s="68"/>
      <c r="L233" s="69"/>
      <c r="M233" s="69"/>
      <c r="N233" s="69"/>
      <c r="O233" s="69"/>
      <c r="P233" s="69"/>
      <c r="Q233" s="69"/>
      <c r="R233" s="65"/>
      <c r="S233" s="64"/>
      <c r="T233" s="70"/>
      <c r="U233" s="71"/>
      <c r="V233" s="68"/>
      <c r="W233" s="72"/>
      <c r="X233" s="72"/>
      <c r="Y233" s="72"/>
      <c r="Z233" s="73"/>
      <c r="AA233" s="321"/>
      <c r="AB233" s="74"/>
      <c r="AC233" s="69"/>
      <c r="AD233" s="69"/>
      <c r="AE233" s="67"/>
      <c r="AF233" s="8"/>
      <c r="AG233" s="8"/>
      <c r="AH233" s="64"/>
      <c r="AI233" s="289"/>
      <c r="AJ233" s="109"/>
      <c r="AK233" s="109"/>
      <c r="AL233" s="286"/>
      <c r="AM233" s="62"/>
      <c r="AN233" s="287"/>
      <c r="AO233" s="62"/>
      <c r="AP233" s="62"/>
      <c r="AQ233" s="62"/>
      <c r="AR233" s="109"/>
      <c r="AS233" s="8"/>
      <c r="AT233" s="64"/>
      <c r="AU233" s="64"/>
      <c r="AV233" s="64"/>
      <c r="AW233" s="64"/>
      <c r="AX233" s="64"/>
      <c r="AY233" s="8"/>
      <c r="AZ233" s="62"/>
    </row>
    <row r="234" spans="1:52" x14ac:dyDescent="0.35">
      <c r="A234" s="8"/>
      <c r="B234" s="8"/>
      <c r="C234" s="8"/>
      <c r="D234" s="8"/>
      <c r="E234" s="64"/>
      <c r="F234" s="64"/>
      <c r="G234" s="8"/>
      <c r="H234" s="65"/>
      <c r="I234" s="66"/>
      <c r="J234" s="67"/>
      <c r="K234" s="68"/>
      <c r="L234" s="69"/>
      <c r="M234" s="69"/>
      <c r="N234" s="69"/>
      <c r="O234" s="69"/>
      <c r="P234" s="69"/>
      <c r="Q234" s="69"/>
      <c r="R234" s="65"/>
      <c r="S234" s="64"/>
      <c r="T234" s="70"/>
      <c r="U234" s="71"/>
      <c r="V234" s="68"/>
      <c r="W234" s="72"/>
      <c r="X234" s="72"/>
      <c r="Y234" s="72"/>
      <c r="Z234" s="73"/>
      <c r="AA234" s="321"/>
      <c r="AB234" s="74"/>
      <c r="AC234" s="69"/>
      <c r="AD234" s="69"/>
      <c r="AE234" s="67"/>
      <c r="AF234" s="8"/>
      <c r="AG234" s="8"/>
      <c r="AH234" s="64"/>
      <c r="AI234" s="289"/>
      <c r="AJ234" s="109"/>
      <c r="AK234" s="109"/>
      <c r="AL234" s="286"/>
      <c r="AM234" s="62"/>
      <c r="AN234" s="287"/>
      <c r="AO234" s="62"/>
      <c r="AP234" s="62"/>
      <c r="AQ234" s="62"/>
      <c r="AR234" s="109"/>
      <c r="AS234" s="8"/>
      <c r="AT234" s="64"/>
      <c r="AU234" s="64"/>
      <c r="AV234" s="64"/>
      <c r="AW234" s="64"/>
      <c r="AX234" s="64"/>
      <c r="AY234" s="8"/>
      <c r="AZ234" s="62"/>
    </row>
    <row r="235" spans="1:52" x14ac:dyDescent="0.35">
      <c r="A235" s="8"/>
      <c r="B235" s="8"/>
      <c r="C235" s="8"/>
      <c r="D235" s="8"/>
      <c r="E235" s="64"/>
      <c r="F235" s="64"/>
      <c r="G235" s="8"/>
      <c r="H235" s="65"/>
      <c r="I235" s="66"/>
      <c r="J235" s="67"/>
      <c r="K235" s="68"/>
      <c r="L235" s="69"/>
      <c r="M235" s="69"/>
      <c r="N235" s="69"/>
      <c r="O235" s="69"/>
      <c r="P235" s="69"/>
      <c r="Q235" s="69"/>
      <c r="R235" s="65"/>
      <c r="S235" s="64"/>
      <c r="T235" s="70"/>
      <c r="U235" s="71"/>
      <c r="V235" s="68"/>
      <c r="W235" s="72"/>
      <c r="X235" s="72"/>
      <c r="Y235" s="72"/>
      <c r="Z235" s="73"/>
      <c r="AA235" s="321"/>
      <c r="AB235" s="74"/>
      <c r="AC235" s="69"/>
      <c r="AD235" s="69"/>
      <c r="AE235" s="67"/>
      <c r="AF235" s="8"/>
      <c r="AG235" s="8"/>
      <c r="AH235" s="64"/>
      <c r="AI235" s="289"/>
      <c r="AJ235" s="109"/>
      <c r="AK235" s="109"/>
      <c r="AL235" s="286"/>
      <c r="AM235" s="62"/>
      <c r="AN235" s="287"/>
      <c r="AO235" s="62"/>
      <c r="AP235" s="62"/>
      <c r="AQ235" s="62"/>
      <c r="AR235" s="109"/>
      <c r="AS235" s="8"/>
      <c r="AT235" s="64"/>
      <c r="AU235" s="64"/>
      <c r="AV235" s="64"/>
      <c r="AW235" s="64"/>
      <c r="AX235" s="64"/>
      <c r="AY235" s="8"/>
      <c r="AZ235" s="62"/>
    </row>
    <row r="236" spans="1:52" x14ac:dyDescent="0.35">
      <c r="A236" s="8"/>
      <c r="B236" s="8"/>
      <c r="C236" s="8"/>
      <c r="D236" s="8"/>
      <c r="E236" s="64"/>
      <c r="F236" s="64"/>
      <c r="G236" s="8"/>
      <c r="H236" s="65"/>
      <c r="I236" s="66"/>
      <c r="J236" s="67"/>
      <c r="K236" s="68"/>
      <c r="L236" s="69"/>
      <c r="M236" s="69"/>
      <c r="N236" s="69"/>
      <c r="O236" s="69"/>
      <c r="P236" s="69"/>
      <c r="Q236" s="69"/>
      <c r="R236" s="65"/>
      <c r="S236" s="64"/>
      <c r="T236" s="70"/>
      <c r="U236" s="71"/>
      <c r="V236" s="68"/>
      <c r="W236" s="72"/>
      <c r="X236" s="72"/>
      <c r="Y236" s="72"/>
      <c r="Z236" s="73"/>
      <c r="AA236" s="321"/>
      <c r="AB236" s="74"/>
      <c r="AC236" s="69"/>
      <c r="AD236" s="69"/>
      <c r="AE236" s="67"/>
      <c r="AF236" s="8"/>
      <c r="AG236" s="8"/>
      <c r="AH236" s="64"/>
      <c r="AI236" s="289"/>
      <c r="AJ236" s="109"/>
      <c r="AK236" s="109"/>
      <c r="AL236" s="286"/>
      <c r="AM236" s="62"/>
      <c r="AN236" s="287"/>
      <c r="AO236" s="62"/>
      <c r="AP236" s="62"/>
      <c r="AQ236" s="62"/>
      <c r="AR236" s="109"/>
      <c r="AS236" s="8"/>
      <c r="AT236" s="64"/>
      <c r="AU236" s="64"/>
      <c r="AV236" s="64"/>
      <c r="AW236" s="64"/>
      <c r="AX236" s="64"/>
      <c r="AY236" s="8"/>
      <c r="AZ236" s="62"/>
    </row>
    <row r="237" spans="1:52" x14ac:dyDescent="0.35">
      <c r="A237" s="8"/>
      <c r="B237" s="8"/>
      <c r="C237" s="8"/>
      <c r="D237" s="8"/>
      <c r="E237" s="64"/>
      <c r="F237" s="64"/>
      <c r="G237" s="8"/>
      <c r="H237" s="65"/>
      <c r="I237" s="66"/>
      <c r="J237" s="67"/>
      <c r="K237" s="68"/>
      <c r="L237" s="69"/>
      <c r="M237" s="69"/>
      <c r="N237" s="69"/>
      <c r="O237" s="69"/>
      <c r="P237" s="69"/>
      <c r="Q237" s="69"/>
      <c r="R237" s="65"/>
      <c r="S237" s="64"/>
      <c r="T237" s="70"/>
      <c r="U237" s="71"/>
      <c r="V237" s="68"/>
      <c r="W237" s="72"/>
      <c r="X237" s="72"/>
      <c r="Y237" s="72"/>
      <c r="Z237" s="73"/>
      <c r="AA237" s="321"/>
      <c r="AB237" s="74"/>
      <c r="AC237" s="69"/>
      <c r="AD237" s="69"/>
      <c r="AE237" s="67"/>
      <c r="AF237" s="8"/>
      <c r="AG237" s="8"/>
      <c r="AH237" s="64"/>
      <c r="AI237" s="289"/>
      <c r="AJ237" s="109"/>
      <c r="AK237" s="109"/>
      <c r="AL237" s="286"/>
      <c r="AM237" s="62"/>
      <c r="AN237" s="287"/>
      <c r="AO237" s="62"/>
      <c r="AP237" s="62"/>
      <c r="AQ237" s="62"/>
      <c r="AR237" s="109"/>
      <c r="AS237" s="8"/>
      <c r="AT237" s="64"/>
      <c r="AU237" s="64"/>
      <c r="AV237" s="64"/>
      <c r="AW237" s="64"/>
      <c r="AX237" s="64"/>
      <c r="AY237" s="8"/>
      <c r="AZ237" s="62"/>
    </row>
    <row r="238" spans="1:52" x14ac:dyDescent="0.35">
      <c r="A238" s="8"/>
      <c r="B238" s="8"/>
      <c r="C238" s="8"/>
      <c r="D238" s="8"/>
      <c r="E238" s="64"/>
      <c r="F238" s="64"/>
      <c r="G238" s="8"/>
      <c r="H238" s="65"/>
      <c r="I238" s="66"/>
      <c r="J238" s="67"/>
      <c r="K238" s="68"/>
      <c r="L238" s="69"/>
      <c r="M238" s="69"/>
      <c r="N238" s="69"/>
      <c r="O238" s="69"/>
      <c r="P238" s="69"/>
      <c r="Q238" s="69"/>
      <c r="R238" s="65"/>
      <c r="S238" s="64"/>
      <c r="T238" s="70"/>
      <c r="U238" s="71"/>
      <c r="V238" s="68"/>
      <c r="W238" s="72"/>
      <c r="X238" s="72"/>
      <c r="Y238" s="72"/>
      <c r="Z238" s="73"/>
      <c r="AA238" s="321"/>
      <c r="AB238" s="74"/>
      <c r="AC238" s="69"/>
      <c r="AD238" s="69"/>
      <c r="AE238" s="67"/>
      <c r="AF238" s="8"/>
      <c r="AG238" s="8"/>
      <c r="AH238" s="64"/>
      <c r="AI238" s="289"/>
      <c r="AJ238" s="109"/>
      <c r="AK238" s="109"/>
      <c r="AL238" s="286"/>
      <c r="AM238" s="62"/>
      <c r="AN238" s="287"/>
      <c r="AO238" s="62"/>
      <c r="AP238" s="62"/>
      <c r="AQ238" s="62"/>
      <c r="AR238" s="109"/>
      <c r="AS238" s="8"/>
      <c r="AT238" s="64"/>
      <c r="AU238" s="64"/>
      <c r="AV238" s="64"/>
      <c r="AW238" s="64"/>
      <c r="AX238" s="64"/>
      <c r="AY238" s="8"/>
      <c r="AZ238" s="62"/>
    </row>
    <row r="239" spans="1:52" x14ac:dyDescent="0.35">
      <c r="A239" s="8"/>
      <c r="B239" s="8"/>
      <c r="C239" s="8"/>
      <c r="D239" s="8"/>
      <c r="E239" s="64"/>
      <c r="F239" s="64"/>
      <c r="G239" s="8"/>
      <c r="H239" s="65"/>
      <c r="I239" s="66"/>
      <c r="J239" s="67"/>
      <c r="K239" s="68"/>
      <c r="L239" s="69"/>
      <c r="M239" s="69"/>
      <c r="N239" s="69"/>
      <c r="O239" s="69"/>
      <c r="P239" s="69"/>
      <c r="Q239" s="69"/>
      <c r="R239" s="65"/>
      <c r="S239" s="64"/>
      <c r="T239" s="70"/>
      <c r="U239" s="71"/>
      <c r="V239" s="68"/>
      <c r="W239" s="72"/>
      <c r="X239" s="72"/>
      <c r="Y239" s="72"/>
      <c r="Z239" s="73"/>
      <c r="AA239" s="321"/>
      <c r="AB239" s="74"/>
      <c r="AC239" s="69"/>
      <c r="AD239" s="69"/>
      <c r="AE239" s="67"/>
      <c r="AF239" s="8"/>
      <c r="AG239" s="8"/>
      <c r="AH239" s="64"/>
      <c r="AI239" s="289"/>
      <c r="AJ239" s="109"/>
      <c r="AK239" s="109"/>
      <c r="AL239" s="286"/>
      <c r="AM239" s="62"/>
      <c r="AN239" s="287"/>
      <c r="AO239" s="62"/>
      <c r="AP239" s="62"/>
      <c r="AQ239" s="62"/>
      <c r="AR239" s="109"/>
      <c r="AS239" s="8"/>
      <c r="AT239" s="64"/>
      <c r="AU239" s="64"/>
      <c r="AV239" s="64"/>
      <c r="AW239" s="64"/>
      <c r="AX239" s="64"/>
      <c r="AY239" s="8"/>
      <c r="AZ239" s="62"/>
    </row>
    <row r="240" spans="1:52" x14ac:dyDescent="0.35">
      <c r="A240" s="8"/>
      <c r="B240" s="8"/>
      <c r="C240" s="8"/>
      <c r="D240" s="8"/>
      <c r="E240" s="64"/>
      <c r="F240" s="64"/>
      <c r="G240" s="8"/>
      <c r="H240" s="65"/>
      <c r="I240" s="66"/>
      <c r="J240" s="67"/>
      <c r="K240" s="68"/>
      <c r="L240" s="69"/>
      <c r="M240" s="69"/>
      <c r="N240" s="69"/>
      <c r="O240" s="69"/>
      <c r="P240" s="69"/>
      <c r="Q240" s="69"/>
      <c r="R240" s="65"/>
      <c r="S240" s="64"/>
      <c r="T240" s="70"/>
      <c r="U240" s="71"/>
      <c r="V240" s="68"/>
      <c r="W240" s="72"/>
      <c r="X240" s="72"/>
      <c r="Y240" s="72"/>
      <c r="Z240" s="73"/>
      <c r="AA240" s="321"/>
      <c r="AB240" s="74"/>
      <c r="AC240" s="69"/>
      <c r="AD240" s="69"/>
      <c r="AE240" s="67"/>
      <c r="AF240" s="8"/>
      <c r="AG240" s="8"/>
      <c r="AH240" s="64"/>
      <c r="AI240" s="289"/>
      <c r="AJ240" s="109"/>
      <c r="AK240" s="109"/>
      <c r="AL240" s="286"/>
      <c r="AM240" s="62"/>
      <c r="AN240" s="287"/>
      <c r="AO240" s="62"/>
      <c r="AP240" s="62"/>
      <c r="AQ240" s="62"/>
      <c r="AR240" s="109"/>
      <c r="AS240" s="8"/>
      <c r="AT240" s="64"/>
      <c r="AU240" s="64"/>
      <c r="AV240" s="64"/>
      <c r="AW240" s="64"/>
      <c r="AX240" s="64"/>
      <c r="AY240" s="8"/>
      <c r="AZ240" s="62"/>
    </row>
    <row r="241" spans="1:52" x14ac:dyDescent="0.35">
      <c r="A241" s="8"/>
      <c r="B241" s="8"/>
      <c r="C241" s="8"/>
      <c r="D241" s="8"/>
      <c r="E241" s="64"/>
      <c r="F241" s="64"/>
      <c r="G241" s="8"/>
      <c r="H241" s="65"/>
      <c r="I241" s="66"/>
      <c r="J241" s="67"/>
      <c r="K241" s="68"/>
      <c r="L241" s="69"/>
      <c r="M241" s="69"/>
      <c r="N241" s="69"/>
      <c r="O241" s="69"/>
      <c r="P241" s="69"/>
      <c r="Q241" s="69"/>
      <c r="R241" s="65"/>
      <c r="S241" s="64"/>
      <c r="T241" s="70"/>
      <c r="U241" s="71"/>
      <c r="V241" s="68"/>
      <c r="W241" s="72"/>
      <c r="X241" s="72"/>
      <c r="Y241" s="72"/>
      <c r="Z241" s="73"/>
      <c r="AA241" s="321"/>
      <c r="AB241" s="74"/>
      <c r="AC241" s="69"/>
      <c r="AD241" s="69"/>
      <c r="AE241" s="67"/>
      <c r="AF241" s="8"/>
      <c r="AG241" s="8"/>
      <c r="AH241" s="64"/>
      <c r="AI241" s="289"/>
      <c r="AJ241" s="109"/>
      <c r="AK241" s="109"/>
      <c r="AL241" s="286"/>
      <c r="AM241" s="62"/>
      <c r="AN241" s="287"/>
      <c r="AO241" s="62"/>
      <c r="AP241" s="62"/>
      <c r="AQ241" s="62"/>
      <c r="AR241" s="109"/>
      <c r="AS241" s="8"/>
      <c r="AT241" s="64"/>
      <c r="AU241" s="64"/>
      <c r="AV241" s="64"/>
      <c r="AW241" s="64"/>
      <c r="AX241" s="64"/>
      <c r="AY241" s="8"/>
      <c r="AZ241" s="62"/>
    </row>
    <row r="242" spans="1:52" x14ac:dyDescent="0.35">
      <c r="A242" s="8"/>
      <c r="B242" s="8"/>
      <c r="C242" s="8"/>
      <c r="D242" s="8"/>
      <c r="E242" s="64"/>
      <c r="F242" s="64"/>
      <c r="G242" s="8"/>
      <c r="H242" s="65"/>
      <c r="I242" s="66"/>
      <c r="J242" s="67"/>
      <c r="K242" s="68"/>
      <c r="L242" s="69"/>
      <c r="M242" s="69"/>
      <c r="N242" s="69"/>
      <c r="O242" s="69"/>
      <c r="P242" s="69"/>
      <c r="Q242" s="69"/>
      <c r="R242" s="65"/>
      <c r="S242" s="64"/>
      <c r="T242" s="70"/>
      <c r="U242" s="71"/>
      <c r="V242" s="68"/>
      <c r="W242" s="72"/>
      <c r="X242" s="72"/>
      <c r="Y242" s="72"/>
      <c r="Z242" s="73"/>
      <c r="AA242" s="321"/>
      <c r="AB242" s="74"/>
      <c r="AC242" s="69"/>
      <c r="AD242" s="69"/>
      <c r="AE242" s="67"/>
      <c r="AF242" s="8"/>
      <c r="AG242" s="8"/>
      <c r="AH242" s="64"/>
      <c r="AI242" s="289"/>
      <c r="AJ242" s="109"/>
      <c r="AK242" s="109"/>
      <c r="AL242" s="286"/>
      <c r="AM242" s="62"/>
      <c r="AN242" s="287"/>
      <c r="AO242" s="62"/>
      <c r="AP242" s="62"/>
      <c r="AQ242" s="62"/>
      <c r="AR242" s="109"/>
      <c r="AS242" s="8"/>
      <c r="AT242" s="64"/>
      <c r="AU242" s="64"/>
      <c r="AV242" s="64"/>
      <c r="AW242" s="64"/>
      <c r="AX242" s="64"/>
      <c r="AY242" s="8"/>
      <c r="AZ242" s="62"/>
    </row>
    <row r="243" spans="1:52" x14ac:dyDescent="0.35">
      <c r="A243" s="8"/>
      <c r="B243" s="8"/>
      <c r="C243" s="8"/>
      <c r="D243" s="8"/>
      <c r="E243" s="64"/>
      <c r="F243" s="64"/>
      <c r="G243" s="8"/>
      <c r="H243" s="65"/>
      <c r="I243" s="66"/>
      <c r="J243" s="67"/>
      <c r="K243" s="68"/>
      <c r="L243" s="69"/>
      <c r="M243" s="69"/>
      <c r="N243" s="69"/>
      <c r="O243" s="69"/>
      <c r="P243" s="69"/>
      <c r="Q243" s="69"/>
      <c r="R243" s="65"/>
      <c r="S243" s="64"/>
      <c r="T243" s="70"/>
      <c r="U243" s="71"/>
      <c r="V243" s="68"/>
      <c r="W243" s="72"/>
      <c r="X243" s="72"/>
      <c r="Y243" s="72"/>
      <c r="Z243" s="73"/>
      <c r="AA243" s="321"/>
      <c r="AB243" s="74"/>
      <c r="AC243" s="69"/>
      <c r="AD243" s="69"/>
      <c r="AE243" s="67"/>
      <c r="AF243" s="8"/>
      <c r="AG243" s="8"/>
      <c r="AH243" s="64"/>
      <c r="AI243" s="289"/>
      <c r="AJ243" s="109"/>
      <c r="AK243" s="109"/>
      <c r="AL243" s="286"/>
      <c r="AM243" s="62"/>
      <c r="AN243" s="287"/>
      <c r="AO243" s="62"/>
      <c r="AP243" s="62"/>
      <c r="AQ243" s="62"/>
      <c r="AR243" s="109"/>
      <c r="AS243" s="8"/>
      <c r="AT243" s="64"/>
      <c r="AU243" s="64"/>
      <c r="AV243" s="64"/>
      <c r="AW243" s="64"/>
      <c r="AX243" s="64"/>
      <c r="AY243" s="8"/>
      <c r="AZ243" s="62"/>
    </row>
    <row r="244" spans="1:52" x14ac:dyDescent="0.35">
      <c r="A244" s="8"/>
      <c r="B244" s="8"/>
      <c r="C244" s="8"/>
      <c r="D244" s="8"/>
      <c r="E244" s="64"/>
      <c r="F244" s="64"/>
      <c r="G244" s="8"/>
      <c r="H244" s="65"/>
      <c r="I244" s="66"/>
      <c r="J244" s="67"/>
      <c r="K244" s="68"/>
      <c r="L244" s="69"/>
      <c r="M244" s="69"/>
      <c r="N244" s="69"/>
      <c r="O244" s="69"/>
      <c r="P244" s="69"/>
      <c r="Q244" s="69"/>
      <c r="R244" s="65"/>
      <c r="S244" s="64"/>
      <c r="T244" s="70"/>
      <c r="U244" s="71"/>
      <c r="V244" s="68"/>
      <c r="W244" s="72"/>
      <c r="X244" s="72"/>
      <c r="Y244" s="72"/>
      <c r="Z244" s="73"/>
      <c r="AA244" s="321"/>
      <c r="AB244" s="74"/>
      <c r="AC244" s="69"/>
      <c r="AD244" s="69"/>
      <c r="AE244" s="67"/>
      <c r="AF244" s="8"/>
      <c r="AG244" s="8"/>
      <c r="AH244" s="64"/>
      <c r="AI244" s="289"/>
      <c r="AJ244" s="109"/>
      <c r="AK244" s="109"/>
      <c r="AL244" s="286"/>
      <c r="AM244" s="62"/>
      <c r="AN244" s="287"/>
      <c r="AO244" s="62"/>
      <c r="AP244" s="62"/>
      <c r="AQ244" s="62"/>
      <c r="AR244" s="109"/>
      <c r="AS244" s="8"/>
      <c r="AT244" s="64"/>
      <c r="AU244" s="64"/>
      <c r="AV244" s="64"/>
      <c r="AW244" s="64"/>
      <c r="AX244" s="64"/>
      <c r="AY244" s="8"/>
      <c r="AZ244" s="62"/>
    </row>
    <row r="245" spans="1:52" x14ac:dyDescent="0.35">
      <c r="A245" s="8"/>
      <c r="B245" s="8"/>
      <c r="C245" s="8"/>
      <c r="D245" s="8"/>
      <c r="E245" s="64"/>
      <c r="F245" s="64"/>
      <c r="G245" s="8"/>
      <c r="H245" s="65"/>
      <c r="I245" s="66"/>
      <c r="J245" s="67"/>
      <c r="K245" s="68"/>
      <c r="L245" s="69"/>
      <c r="M245" s="69"/>
      <c r="N245" s="69"/>
      <c r="O245" s="69"/>
      <c r="P245" s="69"/>
      <c r="Q245" s="69"/>
      <c r="R245" s="65"/>
      <c r="S245" s="64"/>
      <c r="T245" s="70"/>
      <c r="U245" s="71"/>
      <c r="V245" s="68"/>
      <c r="W245" s="72"/>
      <c r="X245" s="72"/>
      <c r="Y245" s="72"/>
      <c r="Z245" s="73"/>
      <c r="AA245" s="321"/>
      <c r="AB245" s="74"/>
      <c r="AC245" s="69"/>
      <c r="AD245" s="69"/>
      <c r="AE245" s="67"/>
      <c r="AF245" s="8"/>
      <c r="AG245" s="8"/>
      <c r="AH245" s="64"/>
      <c r="AI245" s="289"/>
      <c r="AJ245" s="109"/>
      <c r="AK245" s="109"/>
      <c r="AL245" s="286"/>
      <c r="AM245" s="62"/>
      <c r="AN245" s="287"/>
      <c r="AO245" s="62"/>
      <c r="AP245" s="62"/>
      <c r="AQ245" s="62"/>
      <c r="AR245" s="109"/>
      <c r="AS245" s="8"/>
      <c r="AT245" s="64"/>
      <c r="AU245" s="64"/>
      <c r="AV245" s="64"/>
      <c r="AW245" s="64"/>
      <c r="AX245" s="64"/>
      <c r="AY245" s="8"/>
      <c r="AZ245" s="62"/>
    </row>
    <row r="246" spans="1:52" x14ac:dyDescent="0.35">
      <c r="A246" s="8"/>
      <c r="B246" s="8"/>
      <c r="C246" s="8"/>
      <c r="D246" s="8"/>
      <c r="E246" s="64"/>
      <c r="F246" s="64"/>
      <c r="G246" s="8"/>
      <c r="H246" s="65"/>
      <c r="I246" s="66"/>
      <c r="J246" s="67"/>
      <c r="K246" s="68"/>
      <c r="L246" s="69"/>
      <c r="M246" s="69"/>
      <c r="N246" s="69"/>
      <c r="O246" s="69"/>
      <c r="P246" s="69"/>
      <c r="Q246" s="69"/>
      <c r="R246" s="65"/>
      <c r="S246" s="64"/>
      <c r="T246" s="70"/>
      <c r="U246" s="71"/>
      <c r="V246" s="68"/>
      <c r="W246" s="72"/>
      <c r="X246" s="72"/>
      <c r="Y246" s="72"/>
      <c r="Z246" s="73"/>
      <c r="AA246" s="321"/>
      <c r="AB246" s="74"/>
      <c r="AC246" s="69"/>
      <c r="AD246" s="69"/>
      <c r="AE246" s="67"/>
      <c r="AF246" s="8"/>
      <c r="AG246" s="8"/>
      <c r="AH246" s="64"/>
      <c r="AI246" s="289"/>
      <c r="AJ246" s="109"/>
      <c r="AK246" s="109"/>
      <c r="AL246" s="286"/>
      <c r="AM246" s="62"/>
      <c r="AN246" s="287"/>
      <c r="AO246" s="62"/>
      <c r="AP246" s="62"/>
      <c r="AQ246" s="62"/>
      <c r="AR246" s="109"/>
      <c r="AS246" s="8"/>
      <c r="AT246" s="64"/>
      <c r="AU246" s="64"/>
      <c r="AV246" s="64"/>
      <c r="AW246" s="64"/>
      <c r="AX246" s="64"/>
      <c r="AY246" s="8"/>
      <c r="AZ246" s="62"/>
    </row>
    <row r="247" spans="1:52" x14ac:dyDescent="0.35">
      <c r="A247" s="8"/>
      <c r="B247" s="8"/>
      <c r="C247" s="8"/>
      <c r="D247" s="8"/>
      <c r="E247" s="64"/>
      <c r="F247" s="64"/>
      <c r="G247" s="8"/>
      <c r="H247" s="65"/>
      <c r="I247" s="66"/>
      <c r="J247" s="67"/>
      <c r="K247" s="68"/>
      <c r="L247" s="69"/>
      <c r="M247" s="69"/>
      <c r="N247" s="69"/>
      <c r="O247" s="69"/>
      <c r="P247" s="69"/>
      <c r="Q247" s="69"/>
      <c r="R247" s="65"/>
      <c r="S247" s="64"/>
      <c r="T247" s="70"/>
      <c r="U247" s="71"/>
      <c r="V247" s="68"/>
      <c r="W247" s="72"/>
      <c r="X247" s="72"/>
      <c r="Y247" s="72"/>
      <c r="Z247" s="73"/>
      <c r="AA247" s="321"/>
      <c r="AB247" s="74"/>
      <c r="AC247" s="69"/>
      <c r="AD247" s="69"/>
      <c r="AE247" s="67"/>
      <c r="AF247" s="8"/>
      <c r="AG247" s="8"/>
      <c r="AH247" s="64"/>
      <c r="AI247" s="289"/>
      <c r="AJ247" s="109"/>
      <c r="AK247" s="109"/>
      <c r="AL247" s="286"/>
      <c r="AM247" s="62"/>
      <c r="AN247" s="287"/>
      <c r="AO247" s="62"/>
      <c r="AP247" s="62"/>
      <c r="AQ247" s="62"/>
      <c r="AR247" s="109"/>
      <c r="AS247" s="8"/>
      <c r="AT247" s="64"/>
      <c r="AU247" s="64"/>
      <c r="AV247" s="64"/>
      <c r="AW247" s="64"/>
      <c r="AX247" s="64"/>
      <c r="AY247" s="8"/>
      <c r="AZ247" s="62"/>
    </row>
    <row r="248" spans="1:52" x14ac:dyDescent="0.35">
      <c r="A248" s="8"/>
      <c r="B248" s="8"/>
      <c r="C248" s="8"/>
      <c r="D248" s="8"/>
      <c r="E248" s="64"/>
      <c r="F248" s="64"/>
      <c r="G248" s="8"/>
      <c r="H248" s="65"/>
      <c r="I248" s="66"/>
      <c r="J248" s="67"/>
      <c r="K248" s="68"/>
      <c r="L248" s="69"/>
      <c r="M248" s="69"/>
      <c r="N248" s="69"/>
      <c r="O248" s="69"/>
      <c r="P248" s="69"/>
      <c r="Q248" s="69"/>
      <c r="R248" s="65"/>
      <c r="S248" s="64"/>
      <c r="T248" s="70"/>
      <c r="U248" s="71"/>
      <c r="V248" s="68"/>
      <c r="W248" s="72"/>
      <c r="X248" s="72"/>
      <c r="Y248" s="72"/>
      <c r="Z248" s="73"/>
      <c r="AA248" s="321"/>
      <c r="AB248" s="74"/>
      <c r="AC248" s="69"/>
      <c r="AD248" s="69"/>
      <c r="AE248" s="67"/>
      <c r="AF248" s="8"/>
      <c r="AG248" s="8"/>
      <c r="AH248" s="64"/>
      <c r="AI248" s="289"/>
      <c r="AJ248" s="109"/>
      <c r="AK248" s="109"/>
      <c r="AL248" s="286"/>
      <c r="AM248" s="62"/>
      <c r="AN248" s="287"/>
      <c r="AO248" s="62"/>
      <c r="AP248" s="62"/>
      <c r="AQ248" s="62"/>
      <c r="AR248" s="109"/>
      <c r="AS248" s="8"/>
      <c r="AT248" s="64"/>
      <c r="AU248" s="64"/>
      <c r="AV248" s="64"/>
      <c r="AW248" s="64"/>
      <c r="AX248" s="64"/>
      <c r="AY248" s="8"/>
      <c r="AZ248" s="62"/>
    </row>
    <row r="249" spans="1:52" x14ac:dyDescent="0.35">
      <c r="A249" s="8"/>
      <c r="B249" s="8"/>
      <c r="C249" s="8"/>
      <c r="D249" s="8"/>
      <c r="E249" s="64"/>
      <c r="F249" s="64"/>
      <c r="G249" s="8"/>
      <c r="H249" s="65"/>
      <c r="I249" s="66"/>
      <c r="J249" s="67"/>
      <c r="K249" s="68"/>
      <c r="L249" s="69"/>
      <c r="M249" s="69"/>
      <c r="N249" s="69"/>
      <c r="O249" s="69"/>
      <c r="P249" s="69"/>
      <c r="Q249" s="69"/>
      <c r="R249" s="65"/>
      <c r="S249" s="64"/>
      <c r="T249" s="70"/>
      <c r="U249" s="71"/>
      <c r="V249" s="68"/>
      <c r="W249" s="72"/>
      <c r="X249" s="72"/>
      <c r="Y249" s="72"/>
      <c r="Z249" s="73"/>
      <c r="AA249" s="321"/>
      <c r="AB249" s="74"/>
      <c r="AC249" s="69"/>
      <c r="AD249" s="69"/>
      <c r="AE249" s="67"/>
      <c r="AF249" s="8"/>
      <c r="AG249" s="8"/>
      <c r="AH249" s="64"/>
      <c r="AI249" s="289"/>
      <c r="AJ249" s="109"/>
      <c r="AK249" s="109"/>
      <c r="AL249" s="286"/>
      <c r="AM249" s="62"/>
      <c r="AN249" s="287"/>
      <c r="AO249" s="62"/>
      <c r="AP249" s="62"/>
      <c r="AQ249" s="62"/>
      <c r="AR249" s="109"/>
      <c r="AS249" s="8"/>
      <c r="AT249" s="64"/>
      <c r="AU249" s="64"/>
      <c r="AV249" s="64"/>
      <c r="AW249" s="64"/>
      <c r="AX249" s="64"/>
      <c r="AY249" s="8"/>
      <c r="AZ249" s="62"/>
    </row>
    <row r="250" spans="1:52" x14ac:dyDescent="0.35">
      <c r="A250" s="8"/>
      <c r="B250" s="8"/>
      <c r="C250" s="8"/>
      <c r="D250" s="8"/>
      <c r="E250" s="64"/>
      <c r="F250" s="64"/>
      <c r="G250" s="8"/>
      <c r="H250" s="65"/>
      <c r="I250" s="66"/>
      <c r="J250" s="67"/>
      <c r="K250" s="68"/>
      <c r="L250" s="69"/>
      <c r="M250" s="69"/>
      <c r="N250" s="69"/>
      <c r="O250" s="69"/>
      <c r="P250" s="69"/>
      <c r="Q250" s="69"/>
      <c r="R250" s="65"/>
      <c r="S250" s="64"/>
      <c r="T250" s="70"/>
      <c r="U250" s="71"/>
      <c r="V250" s="68"/>
      <c r="W250" s="72"/>
      <c r="X250" s="72"/>
      <c r="Y250" s="72"/>
      <c r="Z250" s="73"/>
      <c r="AA250" s="321"/>
      <c r="AB250" s="74"/>
      <c r="AC250" s="69"/>
      <c r="AD250" s="69"/>
      <c r="AE250" s="67"/>
      <c r="AF250" s="8"/>
      <c r="AG250" s="8"/>
      <c r="AH250" s="64"/>
      <c r="AI250" s="289"/>
      <c r="AJ250" s="109"/>
      <c r="AK250" s="109"/>
      <c r="AL250" s="286"/>
      <c r="AM250" s="62"/>
      <c r="AN250" s="287"/>
      <c r="AO250" s="62"/>
      <c r="AP250" s="62"/>
      <c r="AQ250" s="62"/>
      <c r="AR250" s="109"/>
      <c r="AS250" s="8"/>
      <c r="AT250" s="64"/>
      <c r="AU250" s="64"/>
      <c r="AV250" s="64"/>
      <c r="AW250" s="64"/>
      <c r="AX250" s="64"/>
      <c r="AY250" s="8"/>
      <c r="AZ250" s="62"/>
    </row>
    <row r="251" spans="1:52" x14ac:dyDescent="0.35">
      <c r="A251" s="8"/>
      <c r="B251" s="8"/>
      <c r="C251" s="8"/>
      <c r="D251" s="8"/>
      <c r="E251" s="64"/>
      <c r="F251" s="64"/>
      <c r="G251" s="8"/>
      <c r="H251" s="65"/>
      <c r="I251" s="66"/>
      <c r="J251" s="67"/>
      <c r="K251" s="68"/>
      <c r="L251" s="69"/>
      <c r="M251" s="69"/>
      <c r="N251" s="69"/>
      <c r="O251" s="69"/>
      <c r="P251" s="69"/>
      <c r="Q251" s="69"/>
      <c r="R251" s="65"/>
      <c r="S251" s="64"/>
      <c r="T251" s="70"/>
      <c r="U251" s="71"/>
      <c r="V251" s="68"/>
      <c r="W251" s="72"/>
      <c r="X251" s="72"/>
      <c r="Y251" s="72"/>
      <c r="Z251" s="73"/>
      <c r="AA251" s="321"/>
      <c r="AB251" s="74"/>
      <c r="AC251" s="69"/>
      <c r="AD251" s="69"/>
      <c r="AE251" s="67"/>
      <c r="AF251" s="8"/>
      <c r="AG251" s="8"/>
      <c r="AH251" s="64"/>
      <c r="AI251" s="289"/>
      <c r="AJ251" s="109"/>
      <c r="AK251" s="109"/>
      <c r="AL251" s="286"/>
      <c r="AM251" s="62"/>
      <c r="AN251" s="287"/>
      <c r="AO251" s="62"/>
      <c r="AP251" s="62"/>
      <c r="AQ251" s="62"/>
      <c r="AR251" s="109"/>
      <c r="AS251" s="8"/>
      <c r="AT251" s="64"/>
      <c r="AU251" s="64"/>
      <c r="AV251" s="64"/>
      <c r="AW251" s="64"/>
      <c r="AX251" s="64"/>
      <c r="AY251" s="8"/>
      <c r="AZ251" s="62"/>
    </row>
    <row r="252" spans="1:52" x14ac:dyDescent="0.35">
      <c r="A252" s="8"/>
      <c r="B252" s="8"/>
      <c r="C252" s="8"/>
      <c r="D252" s="8"/>
      <c r="E252" s="64"/>
      <c r="F252" s="64"/>
      <c r="G252" s="8"/>
      <c r="H252" s="65"/>
      <c r="I252" s="66"/>
      <c r="J252" s="67"/>
      <c r="K252" s="68"/>
      <c r="L252" s="69"/>
      <c r="M252" s="69"/>
      <c r="N252" s="69"/>
      <c r="O252" s="69"/>
      <c r="P252" s="69"/>
      <c r="Q252" s="69"/>
      <c r="R252" s="65"/>
      <c r="S252" s="64"/>
      <c r="T252" s="70"/>
      <c r="U252" s="71"/>
      <c r="V252" s="68"/>
      <c r="W252" s="72"/>
      <c r="X252" s="72"/>
      <c r="Y252" s="72"/>
      <c r="Z252" s="73"/>
      <c r="AA252" s="321"/>
      <c r="AB252" s="74"/>
      <c r="AC252" s="69"/>
      <c r="AD252" s="69"/>
      <c r="AE252" s="67"/>
      <c r="AF252" s="8"/>
      <c r="AG252" s="8"/>
      <c r="AH252" s="64"/>
      <c r="AI252" s="289"/>
      <c r="AJ252" s="109"/>
      <c r="AK252" s="109"/>
      <c r="AL252" s="286"/>
      <c r="AM252" s="62"/>
      <c r="AN252" s="287"/>
      <c r="AO252" s="62"/>
      <c r="AP252" s="62"/>
      <c r="AQ252" s="62"/>
      <c r="AR252" s="109"/>
      <c r="AS252" s="8"/>
      <c r="AT252" s="64"/>
      <c r="AU252" s="64"/>
      <c r="AV252" s="64"/>
      <c r="AW252" s="64"/>
      <c r="AX252" s="64"/>
      <c r="AY252" s="8"/>
      <c r="AZ252" s="62"/>
    </row>
    <row r="253" spans="1:52" x14ac:dyDescent="0.35">
      <c r="A253" s="8"/>
      <c r="B253" s="8"/>
      <c r="C253" s="8"/>
      <c r="D253" s="8"/>
      <c r="E253" s="64"/>
      <c r="F253" s="64"/>
      <c r="G253" s="8"/>
      <c r="H253" s="65"/>
      <c r="I253" s="66"/>
      <c r="J253" s="67"/>
      <c r="K253" s="68"/>
      <c r="L253" s="69"/>
      <c r="M253" s="69"/>
      <c r="N253" s="69"/>
      <c r="O253" s="69"/>
      <c r="P253" s="69"/>
      <c r="Q253" s="69"/>
      <c r="R253" s="65"/>
      <c r="S253" s="64"/>
      <c r="T253" s="70"/>
      <c r="U253" s="71"/>
      <c r="V253" s="68"/>
      <c r="W253" s="72"/>
      <c r="X253" s="72"/>
      <c r="Y253" s="72"/>
      <c r="Z253" s="73"/>
      <c r="AA253" s="321"/>
      <c r="AB253" s="74"/>
      <c r="AC253" s="69"/>
      <c r="AD253" s="69"/>
      <c r="AE253" s="67"/>
      <c r="AF253" s="8"/>
      <c r="AG253" s="8"/>
      <c r="AH253" s="64"/>
      <c r="AI253" s="289"/>
      <c r="AJ253" s="109"/>
      <c r="AK253" s="109"/>
      <c r="AL253" s="286"/>
      <c r="AM253" s="62"/>
      <c r="AN253" s="287"/>
      <c r="AO253" s="62"/>
      <c r="AP253" s="62"/>
      <c r="AQ253" s="62"/>
      <c r="AR253" s="109"/>
      <c r="AS253" s="8"/>
      <c r="AT253" s="64"/>
      <c r="AU253" s="64"/>
      <c r="AV253" s="64"/>
      <c r="AW253" s="64"/>
      <c r="AX253" s="64"/>
      <c r="AY253" s="8"/>
      <c r="AZ253" s="62"/>
    </row>
    <row r="254" spans="1:52" x14ac:dyDescent="0.35">
      <c r="A254" s="8"/>
      <c r="B254" s="8"/>
      <c r="C254" s="8"/>
      <c r="D254" s="8"/>
      <c r="E254" s="64"/>
      <c r="F254" s="64"/>
      <c r="G254" s="8"/>
      <c r="H254" s="65"/>
      <c r="I254" s="66"/>
      <c r="J254" s="67"/>
      <c r="K254" s="68"/>
      <c r="L254" s="69"/>
      <c r="M254" s="69"/>
      <c r="N254" s="69"/>
      <c r="O254" s="69"/>
      <c r="P254" s="69"/>
      <c r="Q254" s="69"/>
      <c r="R254" s="65"/>
      <c r="S254" s="64"/>
      <c r="T254" s="70"/>
      <c r="U254" s="71"/>
      <c r="V254" s="68"/>
      <c r="W254" s="72"/>
      <c r="X254" s="72"/>
      <c r="Y254" s="72"/>
      <c r="Z254" s="73"/>
      <c r="AA254" s="321"/>
      <c r="AB254" s="74"/>
      <c r="AC254" s="69"/>
      <c r="AD254" s="69"/>
      <c r="AE254" s="67"/>
      <c r="AF254" s="8"/>
      <c r="AG254" s="8"/>
      <c r="AH254" s="64"/>
      <c r="AI254" s="289"/>
      <c r="AJ254" s="109"/>
      <c r="AK254" s="109"/>
      <c r="AL254" s="286"/>
      <c r="AM254" s="62"/>
      <c r="AN254" s="287"/>
      <c r="AO254" s="62"/>
      <c r="AP254" s="62"/>
      <c r="AQ254" s="62"/>
      <c r="AR254" s="109"/>
      <c r="AS254" s="8"/>
      <c r="AT254" s="64"/>
      <c r="AU254" s="64"/>
      <c r="AV254" s="64"/>
      <c r="AW254" s="64"/>
      <c r="AX254" s="64"/>
      <c r="AY254" s="8"/>
      <c r="AZ254" s="62"/>
    </row>
    <row r="255" spans="1:52" x14ac:dyDescent="0.35">
      <c r="A255" s="8"/>
      <c r="B255" s="8"/>
      <c r="C255" s="8"/>
      <c r="D255" s="8"/>
      <c r="E255" s="64"/>
      <c r="F255" s="64"/>
      <c r="G255" s="8"/>
      <c r="H255" s="65"/>
      <c r="I255" s="66"/>
      <c r="J255" s="67"/>
      <c r="K255" s="68"/>
      <c r="L255" s="69"/>
      <c r="M255" s="69"/>
      <c r="N255" s="69"/>
      <c r="O255" s="69"/>
      <c r="P255" s="69"/>
      <c r="Q255" s="69"/>
      <c r="R255" s="65"/>
      <c r="S255" s="64"/>
      <c r="T255" s="70"/>
      <c r="U255" s="71"/>
      <c r="V255" s="68"/>
      <c r="W255" s="72"/>
      <c r="X255" s="72"/>
      <c r="Y255" s="72"/>
      <c r="Z255" s="73"/>
      <c r="AA255" s="321"/>
      <c r="AB255" s="74"/>
      <c r="AC255" s="69"/>
      <c r="AD255" s="69"/>
      <c r="AE255" s="67"/>
      <c r="AF255" s="8"/>
      <c r="AG255" s="8"/>
      <c r="AH255" s="64"/>
      <c r="AI255" s="289"/>
      <c r="AJ255" s="109"/>
      <c r="AK255" s="109"/>
      <c r="AL255" s="286"/>
      <c r="AM255" s="62"/>
      <c r="AN255" s="287"/>
      <c r="AO255" s="62"/>
      <c r="AP255" s="62"/>
      <c r="AQ255" s="62"/>
      <c r="AR255" s="109"/>
      <c r="AS255" s="8"/>
      <c r="AT255" s="64"/>
      <c r="AU255" s="64"/>
      <c r="AV255" s="64"/>
      <c r="AW255" s="64"/>
      <c r="AX255" s="64"/>
      <c r="AY255" s="8"/>
      <c r="AZ255" s="62"/>
    </row>
    <row r="256" spans="1:52" x14ac:dyDescent="0.35">
      <c r="A256" s="8"/>
      <c r="B256" s="8"/>
      <c r="C256" s="8"/>
      <c r="D256" s="8"/>
      <c r="E256" s="64"/>
      <c r="F256" s="64"/>
      <c r="G256" s="8"/>
      <c r="H256" s="65"/>
      <c r="I256" s="66"/>
      <c r="J256" s="67"/>
      <c r="K256" s="68"/>
      <c r="L256" s="69"/>
      <c r="M256" s="69"/>
      <c r="N256" s="69"/>
      <c r="O256" s="69"/>
      <c r="P256" s="69"/>
      <c r="Q256" s="69"/>
      <c r="R256" s="65"/>
      <c r="S256" s="64"/>
      <c r="T256" s="70"/>
      <c r="U256" s="71"/>
      <c r="V256" s="68"/>
      <c r="W256" s="72"/>
      <c r="X256" s="72"/>
      <c r="Y256" s="72"/>
      <c r="Z256" s="73"/>
      <c r="AA256" s="321"/>
      <c r="AB256" s="74"/>
      <c r="AC256" s="69"/>
      <c r="AD256" s="69"/>
      <c r="AE256" s="67"/>
      <c r="AF256" s="8"/>
      <c r="AG256" s="8"/>
      <c r="AH256" s="64"/>
      <c r="AI256" s="289"/>
      <c r="AJ256" s="109"/>
      <c r="AK256" s="109"/>
      <c r="AL256" s="286"/>
      <c r="AM256" s="62"/>
      <c r="AN256" s="287"/>
      <c r="AO256" s="62"/>
      <c r="AP256" s="62"/>
      <c r="AQ256" s="62"/>
      <c r="AR256" s="109"/>
      <c r="AS256" s="8"/>
      <c r="AT256" s="64"/>
      <c r="AU256" s="64"/>
      <c r="AV256" s="64"/>
      <c r="AW256" s="64"/>
      <c r="AX256" s="64"/>
      <c r="AY256" s="8"/>
      <c r="AZ256" s="62"/>
    </row>
    <row r="257" spans="1:52" x14ac:dyDescent="0.35">
      <c r="A257" s="8"/>
      <c r="B257" s="8"/>
      <c r="C257" s="8"/>
      <c r="D257" s="8"/>
      <c r="E257" s="64"/>
      <c r="F257" s="64"/>
      <c r="G257" s="8"/>
      <c r="H257" s="65"/>
      <c r="I257" s="66"/>
      <c r="J257" s="67"/>
      <c r="K257" s="68"/>
      <c r="L257" s="69"/>
      <c r="M257" s="69"/>
      <c r="N257" s="69"/>
      <c r="O257" s="69"/>
      <c r="P257" s="69"/>
      <c r="Q257" s="69"/>
      <c r="R257" s="65"/>
      <c r="S257" s="64"/>
      <c r="T257" s="70"/>
      <c r="U257" s="71"/>
      <c r="V257" s="68"/>
      <c r="W257" s="72"/>
      <c r="X257" s="72"/>
      <c r="Y257" s="72"/>
      <c r="Z257" s="73"/>
      <c r="AA257" s="321"/>
      <c r="AB257" s="74"/>
      <c r="AC257" s="69"/>
      <c r="AD257" s="69"/>
      <c r="AE257" s="67"/>
      <c r="AF257" s="8"/>
      <c r="AG257" s="8"/>
      <c r="AH257" s="64"/>
      <c r="AI257" s="289"/>
      <c r="AJ257" s="109"/>
      <c r="AK257" s="109"/>
      <c r="AL257" s="286"/>
      <c r="AM257" s="62"/>
      <c r="AN257" s="287"/>
      <c r="AO257" s="62"/>
      <c r="AP257" s="62"/>
      <c r="AQ257" s="62"/>
      <c r="AR257" s="109"/>
      <c r="AS257" s="8"/>
      <c r="AT257" s="64"/>
      <c r="AU257" s="64"/>
      <c r="AV257" s="64"/>
      <c r="AW257" s="64"/>
      <c r="AX257" s="64"/>
      <c r="AY257" s="8"/>
      <c r="AZ257" s="62"/>
    </row>
    <row r="258" spans="1:52" x14ac:dyDescent="0.35">
      <c r="A258" s="8"/>
      <c r="B258" s="8"/>
      <c r="C258" s="8"/>
      <c r="D258" s="8"/>
      <c r="E258" s="64"/>
      <c r="F258" s="64"/>
      <c r="G258" s="8"/>
      <c r="H258" s="65"/>
      <c r="I258" s="66"/>
      <c r="J258" s="67"/>
      <c r="K258" s="68"/>
      <c r="L258" s="69"/>
      <c r="M258" s="69"/>
      <c r="N258" s="69"/>
      <c r="O258" s="69"/>
      <c r="P258" s="69"/>
      <c r="Q258" s="69"/>
      <c r="R258" s="65"/>
      <c r="S258" s="64"/>
      <c r="T258" s="70"/>
      <c r="U258" s="71"/>
      <c r="V258" s="68"/>
      <c r="W258" s="72"/>
      <c r="X258" s="72"/>
      <c r="Y258" s="72"/>
      <c r="Z258" s="73"/>
      <c r="AA258" s="321"/>
      <c r="AB258" s="74"/>
      <c r="AC258" s="69"/>
      <c r="AD258" s="69"/>
      <c r="AE258" s="67"/>
      <c r="AF258" s="8"/>
      <c r="AG258" s="8"/>
      <c r="AH258" s="64"/>
      <c r="AI258" s="289"/>
      <c r="AJ258" s="109"/>
      <c r="AK258" s="109"/>
      <c r="AL258" s="286"/>
      <c r="AM258" s="62"/>
      <c r="AN258" s="287"/>
      <c r="AO258" s="62"/>
      <c r="AP258" s="62"/>
      <c r="AQ258" s="62"/>
      <c r="AR258" s="109"/>
      <c r="AS258" s="8"/>
      <c r="AT258" s="64"/>
      <c r="AU258" s="64"/>
      <c r="AV258" s="64"/>
      <c r="AW258" s="64"/>
      <c r="AX258" s="64"/>
      <c r="AY258" s="8"/>
      <c r="AZ258" s="62"/>
    </row>
    <row r="259" spans="1:52" x14ac:dyDescent="0.35">
      <c r="A259" s="8"/>
      <c r="B259" s="8"/>
      <c r="C259" s="8"/>
      <c r="D259" s="8"/>
      <c r="E259" s="64"/>
      <c r="F259" s="64"/>
      <c r="G259" s="8"/>
      <c r="H259" s="65"/>
      <c r="I259" s="66"/>
      <c r="J259" s="67"/>
      <c r="K259" s="68"/>
      <c r="L259" s="69"/>
      <c r="M259" s="69"/>
      <c r="N259" s="69"/>
      <c r="O259" s="69"/>
      <c r="P259" s="69"/>
      <c r="Q259" s="69"/>
      <c r="R259" s="65"/>
      <c r="S259" s="64"/>
      <c r="T259" s="70"/>
      <c r="U259" s="71"/>
      <c r="V259" s="68"/>
      <c r="W259" s="72"/>
      <c r="X259" s="72"/>
      <c r="Y259" s="72"/>
      <c r="Z259" s="73"/>
      <c r="AA259" s="321"/>
      <c r="AB259" s="74"/>
      <c r="AC259" s="69"/>
      <c r="AD259" s="69"/>
      <c r="AE259" s="67"/>
      <c r="AF259" s="8"/>
      <c r="AG259" s="8"/>
      <c r="AH259" s="64"/>
      <c r="AI259" s="289"/>
      <c r="AJ259" s="109"/>
      <c r="AK259" s="109"/>
      <c r="AL259" s="286"/>
      <c r="AM259" s="62"/>
      <c r="AN259" s="287"/>
      <c r="AO259" s="62"/>
      <c r="AP259" s="62"/>
      <c r="AQ259" s="62"/>
      <c r="AR259" s="109"/>
      <c r="AS259" s="8"/>
      <c r="AT259" s="64"/>
      <c r="AU259" s="64"/>
      <c r="AV259" s="64"/>
      <c r="AW259" s="64"/>
      <c r="AX259" s="64"/>
      <c r="AY259" s="8"/>
      <c r="AZ259" s="62"/>
    </row>
    <row r="260" spans="1:52" x14ac:dyDescent="0.35">
      <c r="A260" s="8"/>
      <c r="B260" s="8"/>
      <c r="C260" s="8"/>
      <c r="D260" s="8"/>
      <c r="E260" s="64"/>
      <c r="F260" s="64"/>
      <c r="G260" s="8"/>
      <c r="H260" s="65"/>
      <c r="I260" s="66"/>
      <c r="J260" s="67"/>
      <c r="K260" s="68"/>
      <c r="L260" s="69"/>
      <c r="M260" s="69"/>
      <c r="N260" s="69"/>
      <c r="O260" s="69"/>
      <c r="P260" s="69"/>
      <c r="Q260" s="69"/>
      <c r="R260" s="65"/>
      <c r="S260" s="64"/>
      <c r="T260" s="70"/>
      <c r="U260" s="71"/>
      <c r="V260" s="68"/>
      <c r="W260" s="72"/>
      <c r="X260" s="72"/>
      <c r="Y260" s="72"/>
      <c r="Z260" s="73"/>
      <c r="AA260" s="321"/>
      <c r="AB260" s="74"/>
      <c r="AC260" s="69"/>
      <c r="AD260" s="69"/>
      <c r="AE260" s="67"/>
      <c r="AF260" s="8"/>
      <c r="AG260" s="8"/>
      <c r="AH260" s="64"/>
      <c r="AI260" s="289"/>
      <c r="AJ260" s="109"/>
      <c r="AK260" s="109"/>
      <c r="AL260" s="286"/>
      <c r="AM260" s="62"/>
      <c r="AN260" s="287"/>
      <c r="AO260" s="62"/>
      <c r="AP260" s="62"/>
      <c r="AQ260" s="62"/>
      <c r="AR260" s="109"/>
      <c r="AS260" s="8"/>
      <c r="AT260" s="64"/>
      <c r="AU260" s="64"/>
      <c r="AV260" s="64"/>
      <c r="AW260" s="64"/>
      <c r="AX260" s="64"/>
      <c r="AY260" s="8"/>
      <c r="AZ260" s="62"/>
    </row>
    <row r="261" spans="1:52" x14ac:dyDescent="0.35">
      <c r="A261" s="8"/>
      <c r="B261" s="8"/>
      <c r="C261" s="8"/>
      <c r="D261" s="8"/>
      <c r="E261" s="64"/>
      <c r="F261" s="64"/>
      <c r="G261" s="8"/>
      <c r="H261" s="65"/>
      <c r="I261" s="66"/>
      <c r="J261" s="67"/>
      <c r="K261" s="68"/>
      <c r="L261" s="69"/>
      <c r="M261" s="69"/>
      <c r="N261" s="69"/>
      <c r="O261" s="69"/>
      <c r="P261" s="69"/>
      <c r="Q261" s="69"/>
      <c r="R261" s="65"/>
      <c r="S261" s="64"/>
      <c r="T261" s="70"/>
      <c r="U261" s="71"/>
      <c r="V261" s="68"/>
      <c r="W261" s="72"/>
      <c r="X261" s="72"/>
      <c r="Y261" s="72"/>
      <c r="Z261" s="73"/>
      <c r="AA261" s="321"/>
      <c r="AB261" s="74"/>
      <c r="AC261" s="69"/>
      <c r="AD261" s="69"/>
      <c r="AE261" s="67"/>
      <c r="AF261" s="8"/>
      <c r="AG261" s="8"/>
      <c r="AH261" s="64"/>
      <c r="AI261" s="289"/>
      <c r="AJ261" s="109"/>
      <c r="AK261" s="109"/>
      <c r="AL261" s="286"/>
      <c r="AM261" s="62"/>
      <c r="AN261" s="287"/>
      <c r="AO261" s="62"/>
      <c r="AP261" s="62"/>
      <c r="AQ261" s="62"/>
      <c r="AR261" s="109"/>
      <c r="AS261" s="8"/>
      <c r="AT261" s="64"/>
      <c r="AU261" s="64"/>
      <c r="AV261" s="64"/>
      <c r="AW261" s="64"/>
      <c r="AX261" s="64"/>
      <c r="AY261" s="8"/>
      <c r="AZ261" s="62"/>
    </row>
    <row r="262" spans="1:52" x14ac:dyDescent="0.35">
      <c r="A262" s="8"/>
      <c r="B262" s="8"/>
      <c r="C262" s="8"/>
      <c r="D262" s="8"/>
      <c r="E262" s="64"/>
      <c r="F262" s="64"/>
      <c r="G262" s="8"/>
      <c r="H262" s="65"/>
      <c r="I262" s="66"/>
      <c r="J262" s="67"/>
      <c r="K262" s="68"/>
      <c r="L262" s="69"/>
      <c r="M262" s="69"/>
      <c r="N262" s="69"/>
      <c r="O262" s="69"/>
      <c r="P262" s="69"/>
      <c r="Q262" s="69"/>
      <c r="R262" s="65"/>
      <c r="S262" s="64"/>
      <c r="T262" s="70"/>
      <c r="U262" s="71"/>
      <c r="V262" s="68"/>
      <c r="W262" s="72"/>
      <c r="X262" s="72"/>
      <c r="Y262" s="72"/>
      <c r="Z262" s="73"/>
      <c r="AA262" s="321"/>
      <c r="AB262" s="74"/>
      <c r="AC262" s="69"/>
      <c r="AD262" s="69"/>
      <c r="AE262" s="67"/>
      <c r="AF262" s="8"/>
      <c r="AG262" s="8"/>
      <c r="AH262" s="64"/>
      <c r="AI262" s="289"/>
      <c r="AJ262" s="109"/>
      <c r="AK262" s="109"/>
      <c r="AL262" s="286"/>
      <c r="AM262" s="62"/>
      <c r="AN262" s="287"/>
      <c r="AO262" s="62"/>
      <c r="AP262" s="62"/>
      <c r="AQ262" s="62"/>
      <c r="AR262" s="109"/>
      <c r="AS262" s="8"/>
      <c r="AT262" s="64"/>
      <c r="AU262" s="64"/>
      <c r="AV262" s="64"/>
      <c r="AW262" s="64"/>
      <c r="AX262" s="64"/>
      <c r="AY262" s="8"/>
      <c r="AZ262" s="62"/>
    </row>
    <row r="263" spans="1:52" x14ac:dyDescent="0.35">
      <c r="A263" s="8"/>
      <c r="B263" s="8"/>
      <c r="C263" s="8"/>
      <c r="D263" s="8"/>
      <c r="E263" s="64"/>
      <c r="F263" s="64"/>
      <c r="G263" s="8"/>
      <c r="H263" s="65"/>
      <c r="I263" s="66"/>
      <c r="J263" s="67"/>
      <c r="K263" s="68"/>
      <c r="L263" s="69"/>
      <c r="M263" s="69"/>
      <c r="N263" s="69"/>
      <c r="O263" s="69"/>
      <c r="P263" s="69"/>
      <c r="Q263" s="69"/>
      <c r="R263" s="65"/>
      <c r="S263" s="64"/>
      <c r="T263" s="70"/>
      <c r="U263" s="71"/>
      <c r="V263" s="68"/>
      <c r="W263" s="72"/>
      <c r="X263" s="72"/>
      <c r="Y263" s="72"/>
      <c r="Z263" s="73"/>
      <c r="AA263" s="321"/>
      <c r="AB263" s="74"/>
      <c r="AC263" s="69"/>
      <c r="AD263" s="69"/>
      <c r="AE263" s="67"/>
      <c r="AF263" s="8"/>
      <c r="AG263" s="8"/>
      <c r="AH263" s="64"/>
      <c r="AI263" s="289"/>
      <c r="AJ263" s="109"/>
      <c r="AK263" s="109"/>
      <c r="AL263" s="286"/>
      <c r="AM263" s="62"/>
      <c r="AN263" s="287"/>
      <c r="AO263" s="62"/>
      <c r="AP263" s="62"/>
      <c r="AQ263" s="62"/>
      <c r="AR263" s="109"/>
      <c r="AS263" s="8"/>
      <c r="AT263" s="64"/>
      <c r="AU263" s="64"/>
      <c r="AV263" s="64"/>
      <c r="AW263" s="64"/>
      <c r="AX263" s="64"/>
      <c r="AY263" s="8"/>
      <c r="AZ263" s="62"/>
    </row>
    <row r="264" spans="1:52" x14ac:dyDescent="0.35">
      <c r="A264" s="8"/>
      <c r="B264" s="8"/>
      <c r="C264" s="8"/>
      <c r="D264" s="8"/>
      <c r="E264" s="64"/>
      <c r="F264" s="64"/>
      <c r="G264" s="8"/>
      <c r="H264" s="65"/>
      <c r="I264" s="66"/>
      <c r="J264" s="67"/>
      <c r="K264" s="68"/>
      <c r="L264" s="69"/>
      <c r="M264" s="69"/>
      <c r="N264" s="69"/>
      <c r="O264" s="69"/>
      <c r="P264" s="69"/>
      <c r="Q264" s="69"/>
      <c r="R264" s="65"/>
      <c r="S264" s="64"/>
      <c r="T264" s="70"/>
      <c r="U264" s="71"/>
      <c r="V264" s="68"/>
      <c r="W264" s="72"/>
      <c r="X264" s="72"/>
      <c r="Y264" s="72"/>
      <c r="Z264" s="73"/>
      <c r="AA264" s="321"/>
      <c r="AB264" s="74"/>
      <c r="AC264" s="69"/>
      <c r="AD264" s="69"/>
      <c r="AE264" s="67"/>
      <c r="AF264" s="8"/>
      <c r="AG264" s="8"/>
      <c r="AH264" s="64"/>
      <c r="AI264" s="289"/>
      <c r="AJ264" s="109"/>
      <c r="AK264" s="109"/>
      <c r="AL264" s="286"/>
      <c r="AM264" s="62"/>
      <c r="AN264" s="287"/>
      <c r="AO264" s="62"/>
      <c r="AP264" s="62"/>
      <c r="AQ264" s="62"/>
      <c r="AR264" s="109"/>
      <c r="AS264" s="8"/>
      <c r="AT264" s="64"/>
      <c r="AU264" s="64"/>
      <c r="AV264" s="64"/>
      <c r="AW264" s="64"/>
      <c r="AX264" s="64"/>
      <c r="AY264" s="8"/>
      <c r="AZ264" s="62"/>
    </row>
    <row r="265" spans="1:52" x14ac:dyDescent="0.35">
      <c r="A265" s="8"/>
      <c r="B265" s="8"/>
      <c r="C265" s="8"/>
      <c r="D265" s="8"/>
      <c r="E265" s="64"/>
      <c r="F265" s="64"/>
      <c r="G265" s="8"/>
      <c r="H265" s="65"/>
      <c r="I265" s="66"/>
      <c r="J265" s="67"/>
      <c r="K265" s="68"/>
      <c r="L265" s="69"/>
      <c r="M265" s="69"/>
      <c r="N265" s="69"/>
      <c r="O265" s="69"/>
      <c r="P265" s="69"/>
      <c r="Q265" s="69"/>
      <c r="R265" s="65"/>
      <c r="S265" s="64"/>
      <c r="T265" s="70"/>
      <c r="U265" s="71"/>
      <c r="V265" s="68"/>
      <c r="W265" s="72"/>
      <c r="X265" s="72"/>
      <c r="Y265" s="72"/>
      <c r="Z265" s="73"/>
      <c r="AA265" s="321"/>
      <c r="AB265" s="74"/>
      <c r="AC265" s="69"/>
      <c r="AD265" s="69"/>
      <c r="AE265" s="67"/>
      <c r="AF265" s="8"/>
      <c r="AG265" s="8"/>
      <c r="AH265" s="64"/>
      <c r="AI265" s="289"/>
      <c r="AJ265" s="109"/>
      <c r="AK265" s="109"/>
      <c r="AL265" s="286"/>
      <c r="AM265" s="62"/>
      <c r="AN265" s="287"/>
      <c r="AO265" s="62"/>
      <c r="AP265" s="62"/>
      <c r="AQ265" s="62"/>
      <c r="AR265" s="109"/>
      <c r="AS265" s="8"/>
      <c r="AT265" s="64"/>
      <c r="AU265" s="64"/>
      <c r="AV265" s="64"/>
      <c r="AW265" s="64"/>
      <c r="AX265" s="64"/>
      <c r="AY265" s="8"/>
      <c r="AZ265" s="62"/>
    </row>
    <row r="266" spans="1:52" x14ac:dyDescent="0.35">
      <c r="A266" s="8"/>
      <c r="B266" s="8"/>
      <c r="C266" s="8"/>
      <c r="D266" s="8"/>
      <c r="E266" s="64"/>
      <c r="F266" s="64"/>
      <c r="G266" s="8"/>
      <c r="H266" s="65"/>
      <c r="I266" s="66"/>
      <c r="J266" s="67"/>
      <c r="K266" s="68"/>
      <c r="L266" s="69"/>
      <c r="M266" s="69"/>
      <c r="N266" s="69"/>
      <c r="O266" s="69"/>
      <c r="P266" s="69"/>
      <c r="Q266" s="69"/>
      <c r="R266" s="65"/>
      <c r="S266" s="64"/>
      <c r="T266" s="70"/>
      <c r="U266" s="71"/>
      <c r="V266" s="68"/>
      <c r="W266" s="72"/>
      <c r="X266" s="72"/>
      <c r="Y266" s="72"/>
      <c r="Z266" s="73"/>
      <c r="AA266" s="321"/>
      <c r="AB266" s="74"/>
      <c r="AC266" s="69"/>
      <c r="AD266" s="69"/>
      <c r="AE266" s="67"/>
      <c r="AF266" s="8"/>
      <c r="AG266" s="8"/>
      <c r="AH266" s="64"/>
      <c r="AI266" s="289"/>
      <c r="AJ266" s="109"/>
      <c r="AK266" s="109"/>
      <c r="AL266" s="286"/>
      <c r="AM266" s="62"/>
      <c r="AN266" s="287"/>
      <c r="AO266" s="62"/>
      <c r="AP266" s="62"/>
      <c r="AQ266" s="62"/>
      <c r="AR266" s="109"/>
      <c r="AS266" s="8"/>
      <c r="AT266" s="64"/>
      <c r="AU266" s="64"/>
      <c r="AV266" s="64"/>
      <c r="AW266" s="64"/>
      <c r="AX266" s="64"/>
      <c r="AY266" s="8"/>
      <c r="AZ266" s="62"/>
    </row>
    <row r="267" spans="1:52" x14ac:dyDescent="0.35">
      <c r="A267" s="8"/>
      <c r="B267" s="8"/>
      <c r="C267" s="8"/>
      <c r="D267" s="8"/>
      <c r="E267" s="64"/>
      <c r="F267" s="64"/>
      <c r="G267" s="8"/>
      <c r="H267" s="65"/>
      <c r="I267" s="66"/>
      <c r="J267" s="67"/>
      <c r="K267" s="68"/>
      <c r="L267" s="69"/>
      <c r="M267" s="69"/>
      <c r="N267" s="69"/>
      <c r="O267" s="69"/>
      <c r="P267" s="69"/>
      <c r="Q267" s="69"/>
      <c r="R267" s="65"/>
      <c r="S267" s="64"/>
      <c r="T267" s="70"/>
      <c r="U267" s="71"/>
      <c r="V267" s="68"/>
      <c r="W267" s="72"/>
      <c r="X267" s="72"/>
      <c r="Y267" s="72"/>
      <c r="Z267" s="73"/>
      <c r="AA267" s="321"/>
      <c r="AB267" s="74"/>
      <c r="AC267" s="69"/>
      <c r="AD267" s="69"/>
      <c r="AE267" s="67"/>
      <c r="AF267" s="8"/>
      <c r="AG267" s="8"/>
      <c r="AH267" s="64"/>
      <c r="AI267" s="289"/>
      <c r="AJ267" s="109"/>
      <c r="AK267" s="109"/>
      <c r="AL267" s="286"/>
      <c r="AM267" s="62"/>
      <c r="AN267" s="287"/>
      <c r="AO267" s="62"/>
      <c r="AP267" s="62"/>
      <c r="AQ267" s="62"/>
      <c r="AR267" s="109"/>
      <c r="AS267" s="8"/>
      <c r="AT267" s="64"/>
      <c r="AU267" s="64"/>
      <c r="AV267" s="64"/>
      <c r="AW267" s="64"/>
      <c r="AX267" s="64"/>
      <c r="AY267" s="8"/>
      <c r="AZ267" s="62"/>
    </row>
    <row r="268" spans="1:52" x14ac:dyDescent="0.35">
      <c r="A268" s="8"/>
      <c r="B268" s="8"/>
      <c r="C268" s="8"/>
      <c r="D268" s="8"/>
      <c r="E268" s="64"/>
      <c r="F268" s="64"/>
      <c r="G268" s="8"/>
      <c r="H268" s="65"/>
      <c r="I268" s="66"/>
      <c r="J268" s="67"/>
      <c r="K268" s="68"/>
      <c r="L268" s="69"/>
      <c r="M268" s="69"/>
      <c r="N268" s="69"/>
      <c r="O268" s="69"/>
      <c r="P268" s="69"/>
      <c r="Q268" s="69"/>
      <c r="R268" s="65"/>
      <c r="S268" s="64"/>
      <c r="T268" s="70"/>
      <c r="U268" s="71"/>
      <c r="V268" s="68"/>
      <c r="W268" s="72"/>
      <c r="X268" s="72"/>
      <c r="Y268" s="72"/>
      <c r="Z268" s="73"/>
      <c r="AA268" s="321"/>
      <c r="AB268" s="74"/>
      <c r="AC268" s="69"/>
      <c r="AD268" s="69"/>
      <c r="AE268" s="67"/>
      <c r="AF268" s="8"/>
      <c r="AG268" s="8"/>
      <c r="AH268" s="64"/>
      <c r="AI268" s="289"/>
      <c r="AJ268" s="109"/>
      <c r="AK268" s="109"/>
      <c r="AL268" s="286"/>
      <c r="AM268" s="62"/>
      <c r="AN268" s="287"/>
      <c r="AO268" s="62"/>
      <c r="AP268" s="62"/>
      <c r="AQ268" s="62"/>
      <c r="AR268" s="109"/>
      <c r="AS268" s="8"/>
      <c r="AT268" s="64"/>
      <c r="AU268" s="64"/>
      <c r="AV268" s="64"/>
      <c r="AW268" s="64"/>
      <c r="AX268" s="64"/>
      <c r="AY268" s="8"/>
      <c r="AZ268" s="62"/>
    </row>
    <row r="269" spans="1:52" x14ac:dyDescent="0.35">
      <c r="A269" s="8"/>
      <c r="B269" s="8"/>
      <c r="C269" s="8"/>
      <c r="D269" s="8"/>
      <c r="E269" s="64"/>
      <c r="F269" s="64"/>
      <c r="G269" s="8"/>
      <c r="H269" s="65"/>
      <c r="I269" s="66"/>
      <c r="J269" s="67"/>
      <c r="K269" s="68"/>
      <c r="L269" s="69"/>
      <c r="M269" s="69"/>
      <c r="N269" s="69"/>
      <c r="O269" s="69"/>
      <c r="P269" s="69"/>
      <c r="Q269" s="69"/>
      <c r="R269" s="65"/>
      <c r="S269" s="64"/>
      <c r="T269" s="70"/>
      <c r="U269" s="71"/>
      <c r="V269" s="68"/>
      <c r="W269" s="72"/>
      <c r="X269" s="72"/>
      <c r="Y269" s="72"/>
      <c r="Z269" s="73"/>
      <c r="AA269" s="321"/>
      <c r="AB269" s="74"/>
      <c r="AC269" s="69"/>
      <c r="AD269" s="69"/>
      <c r="AE269" s="67"/>
      <c r="AF269" s="8"/>
      <c r="AG269" s="8"/>
      <c r="AH269" s="64"/>
      <c r="AI269" s="289"/>
      <c r="AJ269" s="109"/>
      <c r="AK269" s="109"/>
      <c r="AL269" s="286"/>
      <c r="AM269" s="62"/>
      <c r="AN269" s="287"/>
      <c r="AO269" s="62"/>
      <c r="AP269" s="62"/>
      <c r="AQ269" s="62"/>
      <c r="AR269" s="109"/>
      <c r="AS269" s="8"/>
      <c r="AT269" s="64"/>
      <c r="AU269" s="64"/>
      <c r="AV269" s="64"/>
      <c r="AW269" s="64"/>
      <c r="AX269" s="64"/>
      <c r="AY269" s="8"/>
      <c r="AZ269" s="62"/>
    </row>
    <row r="270" spans="1:52" x14ac:dyDescent="0.35">
      <c r="A270" s="8"/>
      <c r="B270" s="8"/>
      <c r="C270" s="8"/>
      <c r="D270" s="8"/>
      <c r="E270" s="64"/>
      <c r="F270" s="64"/>
      <c r="G270" s="8"/>
      <c r="H270" s="65"/>
      <c r="I270" s="66"/>
      <c r="J270" s="67"/>
      <c r="K270" s="68"/>
      <c r="L270" s="69"/>
      <c r="M270" s="69"/>
      <c r="N270" s="69"/>
      <c r="O270" s="69"/>
      <c r="P270" s="69"/>
      <c r="Q270" s="69"/>
      <c r="R270" s="65"/>
      <c r="S270" s="64"/>
      <c r="T270" s="70"/>
      <c r="U270" s="71"/>
      <c r="V270" s="68"/>
      <c r="W270" s="72"/>
      <c r="X270" s="72"/>
      <c r="Y270" s="72"/>
      <c r="Z270" s="73"/>
      <c r="AA270" s="321"/>
      <c r="AB270" s="74"/>
      <c r="AC270" s="69"/>
      <c r="AD270" s="69"/>
      <c r="AE270" s="67"/>
      <c r="AF270" s="8"/>
      <c r="AG270" s="8"/>
      <c r="AH270" s="64"/>
      <c r="AI270" s="289"/>
      <c r="AJ270" s="109"/>
      <c r="AK270" s="109"/>
      <c r="AL270" s="286"/>
      <c r="AM270" s="62"/>
      <c r="AN270" s="287"/>
      <c r="AO270" s="62"/>
      <c r="AP270" s="62"/>
      <c r="AQ270" s="62"/>
      <c r="AR270" s="109"/>
      <c r="AS270" s="8"/>
      <c r="AT270" s="64"/>
      <c r="AU270" s="64"/>
      <c r="AV270" s="64"/>
      <c r="AW270" s="64"/>
      <c r="AX270" s="64"/>
      <c r="AY270" s="8"/>
      <c r="AZ270" s="62"/>
    </row>
    <row r="271" spans="1:52" x14ac:dyDescent="0.35">
      <c r="A271" s="8"/>
      <c r="B271" s="8"/>
      <c r="C271" s="8"/>
      <c r="D271" s="8"/>
      <c r="E271" s="64"/>
      <c r="F271" s="64"/>
      <c r="G271" s="8"/>
      <c r="H271" s="65"/>
      <c r="I271" s="66"/>
      <c r="J271" s="67"/>
      <c r="K271" s="68"/>
      <c r="L271" s="69"/>
      <c r="M271" s="69"/>
      <c r="N271" s="69"/>
      <c r="O271" s="69"/>
      <c r="P271" s="69"/>
      <c r="Q271" s="69"/>
      <c r="R271" s="65"/>
      <c r="S271" s="64"/>
      <c r="T271" s="70"/>
      <c r="U271" s="71"/>
      <c r="V271" s="68"/>
      <c r="W271" s="72"/>
      <c r="X271" s="72"/>
      <c r="Y271" s="72"/>
      <c r="Z271" s="73"/>
      <c r="AA271" s="321"/>
      <c r="AB271" s="74"/>
      <c r="AC271" s="69"/>
      <c r="AD271" s="69"/>
      <c r="AE271" s="67"/>
      <c r="AF271" s="8"/>
      <c r="AG271" s="8"/>
      <c r="AH271" s="64"/>
      <c r="AI271" s="289"/>
      <c r="AJ271" s="109"/>
      <c r="AK271" s="109"/>
      <c r="AL271" s="286"/>
      <c r="AM271" s="62"/>
      <c r="AN271" s="287"/>
      <c r="AO271" s="62"/>
      <c r="AP271" s="62"/>
      <c r="AQ271" s="62"/>
      <c r="AR271" s="109"/>
      <c r="AS271" s="8"/>
      <c r="AT271" s="64"/>
      <c r="AU271" s="64"/>
      <c r="AV271" s="64"/>
      <c r="AW271" s="64"/>
      <c r="AX271" s="64"/>
      <c r="AY271" s="8"/>
      <c r="AZ271" s="62"/>
    </row>
    <row r="272" spans="1:52" x14ac:dyDescent="0.35">
      <c r="A272" s="8"/>
      <c r="B272" s="8"/>
      <c r="C272" s="8"/>
      <c r="D272" s="8"/>
      <c r="E272" s="64"/>
      <c r="F272" s="64"/>
      <c r="G272" s="8"/>
      <c r="H272" s="65"/>
      <c r="I272" s="66"/>
      <c r="J272" s="67"/>
      <c r="K272" s="68"/>
      <c r="L272" s="69"/>
      <c r="M272" s="69"/>
      <c r="N272" s="69"/>
      <c r="O272" s="69"/>
      <c r="P272" s="69"/>
      <c r="Q272" s="69"/>
      <c r="R272" s="65"/>
      <c r="S272" s="64"/>
      <c r="T272" s="70"/>
      <c r="U272" s="71"/>
      <c r="V272" s="68"/>
      <c r="W272" s="72"/>
      <c r="X272" s="72"/>
      <c r="Y272" s="72"/>
      <c r="Z272" s="73"/>
      <c r="AA272" s="321"/>
      <c r="AB272" s="74"/>
      <c r="AC272" s="69"/>
      <c r="AD272" s="69"/>
      <c r="AE272" s="67"/>
      <c r="AF272" s="8"/>
      <c r="AG272" s="8"/>
      <c r="AH272" s="64"/>
      <c r="AI272" s="289"/>
      <c r="AJ272" s="109"/>
      <c r="AK272" s="109"/>
      <c r="AL272" s="286"/>
      <c r="AM272" s="62"/>
      <c r="AN272" s="287"/>
      <c r="AO272" s="62"/>
      <c r="AP272" s="62"/>
      <c r="AQ272" s="62"/>
      <c r="AR272" s="109"/>
      <c r="AS272" s="8"/>
      <c r="AT272" s="64"/>
      <c r="AU272" s="64"/>
      <c r="AV272" s="64"/>
      <c r="AW272" s="64"/>
      <c r="AX272" s="64"/>
      <c r="AY272" s="8"/>
      <c r="AZ272" s="62"/>
    </row>
    <row r="273" spans="1:52" x14ac:dyDescent="0.35">
      <c r="A273" s="8"/>
      <c r="B273" s="8"/>
      <c r="C273" s="8"/>
      <c r="D273" s="8"/>
      <c r="E273" s="64"/>
      <c r="F273" s="64"/>
      <c r="G273" s="8"/>
      <c r="H273" s="65"/>
      <c r="I273" s="66"/>
      <c r="J273" s="67"/>
      <c r="K273" s="68"/>
      <c r="L273" s="69"/>
      <c r="M273" s="69"/>
      <c r="N273" s="69"/>
      <c r="O273" s="69"/>
      <c r="P273" s="69"/>
      <c r="Q273" s="69"/>
      <c r="R273" s="65"/>
      <c r="S273" s="64"/>
      <c r="T273" s="70"/>
      <c r="U273" s="71"/>
      <c r="V273" s="68"/>
      <c r="W273" s="72"/>
      <c r="X273" s="72"/>
      <c r="Y273" s="72"/>
      <c r="Z273" s="73"/>
      <c r="AA273" s="321"/>
      <c r="AB273" s="74"/>
      <c r="AC273" s="69"/>
      <c r="AD273" s="69"/>
      <c r="AE273" s="67"/>
      <c r="AF273" s="8"/>
      <c r="AG273" s="8"/>
      <c r="AH273" s="64"/>
      <c r="AI273" s="289"/>
      <c r="AJ273" s="109"/>
      <c r="AK273" s="109"/>
      <c r="AL273" s="286"/>
      <c r="AM273" s="62"/>
      <c r="AN273" s="287"/>
      <c r="AO273" s="62"/>
      <c r="AP273" s="62"/>
      <c r="AQ273" s="62"/>
      <c r="AR273" s="109"/>
      <c r="AS273" s="8"/>
      <c r="AT273" s="64"/>
      <c r="AU273" s="64"/>
      <c r="AV273" s="64"/>
      <c r="AW273" s="64"/>
      <c r="AX273" s="64"/>
      <c r="AY273" s="8"/>
      <c r="AZ273" s="62"/>
    </row>
    <row r="274" spans="1:52" x14ac:dyDescent="0.35">
      <c r="A274" s="8"/>
      <c r="B274" s="8"/>
      <c r="C274" s="8"/>
      <c r="D274" s="8"/>
      <c r="E274" s="64"/>
      <c r="F274" s="64"/>
      <c r="G274" s="8"/>
      <c r="H274" s="65"/>
      <c r="I274" s="66"/>
      <c r="J274" s="67"/>
      <c r="K274" s="68"/>
      <c r="L274" s="69"/>
      <c r="M274" s="69"/>
      <c r="N274" s="69"/>
      <c r="O274" s="69"/>
      <c r="P274" s="69"/>
      <c r="Q274" s="69"/>
      <c r="R274" s="65"/>
      <c r="S274" s="64"/>
      <c r="T274" s="70"/>
      <c r="U274" s="71"/>
      <c r="V274" s="68"/>
      <c r="W274" s="72"/>
      <c r="X274" s="72"/>
      <c r="Y274" s="72"/>
      <c r="Z274" s="73"/>
      <c r="AA274" s="321"/>
      <c r="AB274" s="74"/>
      <c r="AC274" s="69"/>
      <c r="AD274" s="69"/>
      <c r="AE274" s="67"/>
      <c r="AF274" s="8"/>
      <c r="AG274" s="8"/>
      <c r="AH274" s="64"/>
      <c r="AI274" s="289"/>
      <c r="AJ274" s="109"/>
      <c r="AK274" s="109"/>
      <c r="AL274" s="286"/>
      <c r="AM274" s="62"/>
      <c r="AN274" s="287"/>
      <c r="AO274" s="62"/>
      <c r="AP274" s="62"/>
      <c r="AQ274" s="62"/>
      <c r="AR274" s="109"/>
      <c r="AS274" s="8"/>
      <c r="AT274" s="64"/>
      <c r="AU274" s="64"/>
      <c r="AV274" s="64"/>
      <c r="AW274" s="64"/>
      <c r="AX274" s="64"/>
      <c r="AY274" s="8"/>
      <c r="AZ274" s="62"/>
    </row>
    <row r="275" spans="1:52" x14ac:dyDescent="0.35">
      <c r="A275" s="8"/>
      <c r="B275" s="8"/>
      <c r="C275" s="8"/>
      <c r="D275" s="8"/>
      <c r="E275" s="64"/>
      <c r="F275" s="64"/>
      <c r="G275" s="8"/>
      <c r="H275" s="65"/>
      <c r="I275" s="66"/>
      <c r="J275" s="67"/>
      <c r="K275" s="68"/>
      <c r="L275" s="69"/>
      <c r="M275" s="69"/>
      <c r="N275" s="69"/>
      <c r="O275" s="69"/>
      <c r="P275" s="69"/>
      <c r="Q275" s="69"/>
      <c r="R275" s="65"/>
      <c r="S275" s="64"/>
      <c r="T275" s="70"/>
      <c r="U275" s="71"/>
      <c r="V275" s="68"/>
      <c r="W275" s="72"/>
      <c r="X275" s="72"/>
      <c r="Y275" s="72"/>
      <c r="Z275" s="73"/>
      <c r="AA275" s="321"/>
      <c r="AB275" s="74"/>
      <c r="AC275" s="69"/>
      <c r="AD275" s="69"/>
      <c r="AE275" s="67"/>
      <c r="AF275" s="8"/>
      <c r="AG275" s="8"/>
      <c r="AH275" s="64"/>
      <c r="AI275" s="289"/>
      <c r="AJ275" s="109"/>
      <c r="AK275" s="109"/>
      <c r="AL275" s="286"/>
      <c r="AM275" s="62"/>
      <c r="AN275" s="287"/>
      <c r="AO275" s="62"/>
      <c r="AP275" s="62"/>
      <c r="AQ275" s="62"/>
      <c r="AR275" s="109"/>
      <c r="AS275" s="8"/>
      <c r="AT275" s="64"/>
      <c r="AU275" s="64"/>
      <c r="AV275" s="64"/>
      <c r="AW275" s="64"/>
      <c r="AX275" s="64"/>
      <c r="AY275" s="8"/>
      <c r="AZ275" s="62"/>
    </row>
    <row r="276" spans="1:52" x14ac:dyDescent="0.35">
      <c r="A276" s="8"/>
      <c r="B276" s="8"/>
      <c r="C276" s="8"/>
      <c r="D276" s="8"/>
      <c r="E276" s="64"/>
      <c r="F276" s="64"/>
      <c r="G276" s="8"/>
      <c r="H276" s="65"/>
      <c r="I276" s="66"/>
      <c r="J276" s="67"/>
      <c r="K276" s="68"/>
      <c r="L276" s="69"/>
      <c r="M276" s="69"/>
      <c r="N276" s="69"/>
      <c r="O276" s="69"/>
      <c r="P276" s="69"/>
      <c r="Q276" s="69"/>
      <c r="R276" s="65"/>
      <c r="S276" s="64"/>
      <c r="T276" s="70"/>
      <c r="U276" s="71"/>
      <c r="V276" s="68"/>
      <c r="W276" s="72"/>
      <c r="X276" s="72"/>
      <c r="Y276" s="72"/>
      <c r="Z276" s="73"/>
      <c r="AA276" s="321"/>
      <c r="AB276" s="74"/>
      <c r="AC276" s="69"/>
      <c r="AD276" s="69"/>
      <c r="AE276" s="67"/>
      <c r="AF276" s="8"/>
      <c r="AG276" s="8"/>
      <c r="AH276" s="64"/>
      <c r="AI276" s="289"/>
      <c r="AJ276" s="109"/>
      <c r="AK276" s="109"/>
      <c r="AL276" s="286"/>
      <c r="AM276" s="62"/>
      <c r="AN276" s="287"/>
      <c r="AO276" s="62"/>
      <c r="AP276" s="62"/>
      <c r="AQ276" s="62"/>
      <c r="AR276" s="109"/>
      <c r="AS276" s="8"/>
      <c r="AT276" s="64"/>
      <c r="AU276" s="64"/>
      <c r="AV276" s="64"/>
      <c r="AW276" s="64"/>
      <c r="AX276" s="64"/>
      <c r="AY276" s="8"/>
      <c r="AZ276" s="62"/>
    </row>
    <row r="277" spans="1:52" x14ac:dyDescent="0.35">
      <c r="A277" s="8"/>
      <c r="B277" s="8"/>
      <c r="C277" s="8"/>
      <c r="D277" s="8"/>
      <c r="E277" s="64"/>
      <c r="F277" s="64"/>
      <c r="G277" s="8"/>
      <c r="H277" s="65"/>
      <c r="I277" s="66"/>
      <c r="J277" s="67"/>
      <c r="K277" s="68"/>
      <c r="L277" s="69"/>
      <c r="M277" s="69"/>
      <c r="N277" s="69"/>
      <c r="O277" s="69"/>
      <c r="P277" s="69"/>
      <c r="Q277" s="69"/>
      <c r="R277" s="65"/>
      <c r="S277" s="64"/>
      <c r="T277" s="70"/>
      <c r="U277" s="71"/>
      <c r="V277" s="68"/>
      <c r="W277" s="72"/>
      <c r="X277" s="72"/>
      <c r="Y277" s="72"/>
      <c r="Z277" s="73"/>
      <c r="AA277" s="321"/>
      <c r="AB277" s="74"/>
      <c r="AC277" s="69"/>
      <c r="AD277" s="69"/>
      <c r="AE277" s="67"/>
      <c r="AF277" s="8"/>
      <c r="AG277" s="8"/>
      <c r="AH277" s="64"/>
      <c r="AI277" s="289"/>
      <c r="AJ277" s="109"/>
      <c r="AK277" s="109"/>
      <c r="AL277" s="286"/>
      <c r="AM277" s="62"/>
      <c r="AN277" s="287"/>
      <c r="AO277" s="62"/>
      <c r="AP277" s="62"/>
      <c r="AQ277" s="62"/>
      <c r="AR277" s="109"/>
      <c r="AS277" s="8"/>
      <c r="AT277" s="64"/>
      <c r="AU277" s="64"/>
      <c r="AV277" s="64"/>
      <c r="AW277" s="64"/>
      <c r="AX277" s="64"/>
      <c r="AY277" s="8"/>
      <c r="AZ277" s="62"/>
    </row>
    <row r="278" spans="1:52" x14ac:dyDescent="0.35">
      <c r="A278" s="8"/>
      <c r="B278" s="8"/>
      <c r="C278" s="8"/>
      <c r="D278" s="8"/>
      <c r="E278" s="64"/>
      <c r="F278" s="64"/>
      <c r="G278" s="8"/>
      <c r="H278" s="65"/>
      <c r="I278" s="66"/>
      <c r="J278" s="67"/>
      <c r="K278" s="68"/>
      <c r="L278" s="69"/>
      <c r="M278" s="69"/>
      <c r="N278" s="69"/>
      <c r="O278" s="69"/>
      <c r="P278" s="69"/>
      <c r="Q278" s="69"/>
      <c r="R278" s="65"/>
      <c r="S278" s="64"/>
      <c r="T278" s="70"/>
      <c r="U278" s="71"/>
      <c r="V278" s="68"/>
      <c r="W278" s="72"/>
      <c r="X278" s="72"/>
      <c r="Y278" s="72"/>
      <c r="Z278" s="73"/>
      <c r="AA278" s="321"/>
      <c r="AB278" s="74"/>
      <c r="AC278" s="69"/>
      <c r="AD278" s="69"/>
      <c r="AE278" s="67"/>
      <c r="AF278" s="8"/>
      <c r="AG278" s="8"/>
      <c r="AH278" s="64"/>
      <c r="AI278" s="289"/>
      <c r="AJ278" s="109"/>
      <c r="AK278" s="109"/>
      <c r="AL278" s="286"/>
      <c r="AM278" s="62"/>
      <c r="AN278" s="287"/>
      <c r="AO278" s="62"/>
      <c r="AP278" s="62"/>
      <c r="AQ278" s="62"/>
      <c r="AR278" s="109"/>
      <c r="AS278" s="8"/>
      <c r="AT278" s="64"/>
      <c r="AU278" s="64"/>
      <c r="AV278" s="64"/>
      <c r="AW278" s="64"/>
      <c r="AX278" s="64"/>
      <c r="AY278" s="8"/>
      <c r="AZ278" s="62"/>
    </row>
    <row r="279" spans="1:52" x14ac:dyDescent="0.35">
      <c r="AG279" s="8"/>
      <c r="AH279" s="64"/>
    </row>
  </sheetData>
  <sheetProtection algorithmName="SHA-512" hashValue="3ja9Wu75PGeZflb7/M+5EqIuRUr7UP4nPpSjhvMGsaetU0+B6tIWW4mh3TZ2VNRhIHOAhDyiIHAsEMJ2Ffv6rg==" saltValue="DaSSzK2S4GJY71EiV5S/sQ==" spinCount="100000" sheet="1" objects="1" scenarios="1"/>
  <sortState xmlns:xlrd2="http://schemas.microsoft.com/office/spreadsheetml/2017/richdata2" ref="AP17:AQ67">
    <sortCondition ref="AP17:AP67"/>
  </sortState>
  <mergeCells count="2">
    <mergeCell ref="B66:B86"/>
    <mergeCell ref="B5:B59"/>
  </mergeCells>
  <dataValidations disablePrompts="1" count="6">
    <dataValidation type="list" allowBlank="1" showInputMessage="1" showErrorMessage="1" sqref="G17:G57 H18:H57" xr:uid="{53187F53-DD17-4C27-AE17-C5009423A4AC}">
      <formula1>Building_Category_Row_Headers</formula1>
    </dataValidation>
    <dataValidation type="list" allowBlank="1" showInputMessage="1" showErrorMessage="1" sqref="H17:H57 R17:R57" xr:uid="{D5D976E6-D966-4809-8395-31FE69DBF750}">
      <formula1>Fixture_Usage_Headers</formula1>
    </dataValidation>
    <dataValidation type="list" allowBlank="1" showInputMessage="1" showErrorMessage="1" sqref="W15:AA15" xr:uid="{2B0F1102-FAEE-41E2-89AF-B77B49AF5077}">
      <formula1>Fuel_Source_Carbon_Headers</formula1>
    </dataValidation>
    <dataValidation allowBlank="1" showInputMessage="1" showErrorMessage="1" promptTitle="Relative Standard Error (RSE)" prompt="Because of rounding, data may not sum to totals. CBECS withheld data in cases where the RSE was greater than 50% or fewer than 20 buildings were sampled. " sqref="AB15" xr:uid="{0837438C-5645-414E-8EB0-06E3011B1E87}"/>
    <dataValidation allowBlank="1" showInputMessage="1" showErrorMessage="1" promptTitle="Emissions Factor" prompt="The emission factors are normalized, to account for missing fossil fuel data from CBECS. " sqref="AE15" xr:uid="{8E935E61-2E7D-4AE5-A7AB-951E55259386}"/>
    <dataValidation allowBlank="1" showErrorMessage="1" sqref="D58:R59" xr:uid="{BCB50E64-D2C4-4A97-A81A-6DDFA834712E}"/>
  </dataValidations>
  <hyperlinks>
    <hyperlink ref="D7" r:id="rId1" xr:uid="{CE049489-E16B-4BFF-82DD-BA2F5BC7DA10}"/>
    <hyperlink ref="D9" r:id="rId2" xr:uid="{B25BAEDD-0C4B-4E7B-8589-F45640FC6CAA}"/>
    <hyperlink ref="D10" r:id="rId3" xr:uid="{3EB9828D-4607-408F-A3EA-BB6EA2D40C52}"/>
    <hyperlink ref="AG7" r:id="rId4" display="Source: ESPM Emissions for District Fuels (pg 9) " xr:uid="{D44A9E1B-7594-4A77-93C5-6AB63339CEA1}"/>
    <hyperlink ref="T10" r:id="rId5" xr:uid="{A2136EBC-69F7-418E-BBEC-DDF2809C08E2}"/>
    <hyperlink ref="T11" r:id="rId6" location="/media/File:WUI_metrics-benchmarks.png" xr:uid="{5785E241-26EA-49DD-8556-A84522F32174}"/>
    <hyperlink ref="T12" r:id="rId7" xr:uid="{83323FA0-691C-4DA1-99EA-56438B33C9EC}"/>
    <hyperlink ref="T13" r:id="rId8" xr:uid="{9A73366A-9221-4DF3-BAD0-E2A6C6DE1E67}"/>
    <hyperlink ref="T9" r:id="rId9" xr:uid="{0A5F46A3-5423-4C36-BF16-97A4542282F6}"/>
    <hyperlink ref="T8" r:id="rId10" xr:uid="{29206E46-7272-429F-B766-82835588E5A8}"/>
    <hyperlink ref="T7" r:id="rId11" xr:uid="{E4DF3791-A124-42F7-A73E-553027326A1A}"/>
  </hyperlinks>
  <pageMargins left="0.7" right="0.7" top="0.75" bottom="0.75" header="0" footer="0"/>
  <pageSetup orientation="landscape" r:id="rId12"/>
  <ignoredErrors>
    <ignoredError sqref="K17 K18:K49 K50:K57" formula="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AF2B3-A42A-44FF-BF23-8D75726F13BE}">
  <sheetPr codeName="Sheet15"/>
  <dimension ref="B3:N16"/>
  <sheetViews>
    <sheetView workbookViewId="0">
      <selection activeCell="B22" sqref="B22"/>
    </sheetView>
  </sheetViews>
  <sheetFormatPr defaultColWidth="9.08984375" defaultRowHeight="13" x14ac:dyDescent="0.3"/>
  <cols>
    <col min="1" max="1" width="3.36328125" style="28" customWidth="1"/>
    <col min="2" max="2" width="28.54296875" style="28" bestFit="1" customWidth="1"/>
    <col min="3" max="3" width="21.90625" style="49" bestFit="1" customWidth="1"/>
    <col min="4" max="5" width="15" style="50" customWidth="1"/>
    <col min="6" max="6" width="12.453125" style="50" bestFit="1" customWidth="1"/>
    <col min="7" max="7" width="14.36328125" style="50" bestFit="1" customWidth="1"/>
    <col min="8" max="8" width="11" style="50" bestFit="1" customWidth="1"/>
    <col min="9" max="9" width="15" style="50" customWidth="1"/>
    <col min="10" max="13" width="15" style="28" customWidth="1"/>
    <col min="14" max="14" width="8.6328125" style="28" customWidth="1"/>
    <col min="15" max="16384" width="9.08984375" style="28"/>
  </cols>
  <sheetData>
    <row r="3" spans="2:14" x14ac:dyDescent="0.3">
      <c r="B3" s="25"/>
      <c r="C3" s="26"/>
      <c r="D3" s="27"/>
      <c r="E3" s="27"/>
      <c r="F3" s="27"/>
      <c r="G3" s="27"/>
      <c r="H3" s="27"/>
      <c r="I3" s="27"/>
      <c r="J3" s="25"/>
      <c r="K3" s="25"/>
      <c r="L3" s="25"/>
      <c r="M3" s="25"/>
      <c r="N3" s="25"/>
    </row>
    <row r="4" spans="2:14" s="33" customFormat="1" ht="47.25" customHeight="1" x14ac:dyDescent="0.35">
      <c r="B4" s="29"/>
      <c r="C4" s="30" t="str">
        <f>Introduction!H29</f>
        <v>Program Breakdown(?)</v>
      </c>
      <c r="D4" s="31" t="str">
        <f>Introduction!K29</f>
        <v>% of Total Area</v>
      </c>
      <c r="E4" s="32" t="str">
        <f>'Reference Tables'!F15</f>
        <v>LPD
(W/sf)</v>
      </c>
      <c r="F4" s="32" t="str">
        <f>'Reference Tables'!I15</f>
        <v>Site EUI
(kBtu/sf/yr)</v>
      </c>
      <c r="G4" s="32" t="str">
        <f>'Reference Tables'!K15</f>
        <v>Operational Carbon Intensity
(kg-CO2e/sf/yr)</v>
      </c>
      <c r="H4" s="32" t="str">
        <f>'Reference Tables'!L15</f>
        <v>Water Use Intensity (Gal/sf/yr)</v>
      </c>
      <c r="I4" s="32" t="str">
        <f>'Reference Tables'!M15</f>
        <v>Toilet
(#/person/day)</v>
      </c>
      <c r="J4" s="32" t="str">
        <f>'Reference Tables'!N15</f>
        <v>Urinal
(#/person/day)</v>
      </c>
      <c r="K4" s="32" t="str">
        <f>'Reference Tables'!O15</f>
        <v>Shower
(min/person/day)</v>
      </c>
      <c r="L4" s="32" t="str">
        <f>'Reference Tables'!P15</f>
        <v>Lavatory
(min/person/day)</v>
      </c>
      <c r="M4" s="32" t="str">
        <f>'Reference Tables'!Q15</f>
        <v>Kitchen Faucet
(min/person/day)</v>
      </c>
      <c r="N4" s="32"/>
    </row>
    <row r="5" spans="2:14" s="39" customFormat="1" ht="20.25" customHeight="1" x14ac:dyDescent="0.35">
      <c r="B5" s="34" t="s">
        <v>568</v>
      </c>
      <c r="C5" s="35"/>
      <c r="D5" s="36"/>
      <c r="E5" s="37">
        <f t="shared" ref="E5:M5" si="0">MATCH(4:4,Building_Type_Column_Headers,0)</f>
        <v>3</v>
      </c>
      <c r="F5" s="37">
        <f t="shared" si="0"/>
        <v>6</v>
      </c>
      <c r="G5" s="37">
        <f t="shared" si="0"/>
        <v>8</v>
      </c>
      <c r="H5" s="37">
        <f t="shared" si="0"/>
        <v>9</v>
      </c>
      <c r="I5" s="37">
        <f t="shared" si="0"/>
        <v>10</v>
      </c>
      <c r="J5" s="37">
        <f t="shared" si="0"/>
        <v>11</v>
      </c>
      <c r="K5" s="37">
        <f t="shared" si="0"/>
        <v>12</v>
      </c>
      <c r="L5" s="37">
        <f t="shared" si="0"/>
        <v>13</v>
      </c>
      <c r="M5" s="37">
        <f t="shared" si="0"/>
        <v>14</v>
      </c>
      <c r="N5" s="38"/>
    </row>
    <row r="6" spans="2:14" s="43" customFormat="1" ht="39" customHeight="1" x14ac:dyDescent="0.35">
      <c r="B6" s="40" t="s">
        <v>673</v>
      </c>
      <c r="C6" s="41"/>
      <c r="D6" s="464"/>
      <c r="E6" s="458">
        <f ca="1">IF(_xlfn.SINGLE(7:7)&lt;&gt;"",_xlfn.SINGLE(7:7), _xlfn.SINGLE(8:8))</f>
        <v>0</v>
      </c>
      <c r="F6" s="458">
        <f ca="1">IF(_xlfn.SINGLE(7:7)&lt;&gt;"",_xlfn.SINGLE(7:7), _xlfn.SINGLE(8:8))</f>
        <v>0</v>
      </c>
      <c r="G6" s="458">
        <f ca="1">IF(_xlfn.SINGLE(7:7)&lt;&gt;"",_xlfn.SINGLE(7:7), _xlfn.SINGLE(8:8))</f>
        <v>0</v>
      </c>
      <c r="H6" s="458">
        <f ca="1">IF(_xlfn.SINGLE(7:7)&lt;&gt;"",_xlfn.SINGLE(7:7), _xlfn.SINGLE(8:8))</f>
        <v>0</v>
      </c>
      <c r="I6" s="459"/>
      <c r="J6" s="459"/>
      <c r="K6" s="459"/>
      <c r="L6" s="459"/>
      <c r="M6" s="459"/>
      <c r="N6" s="42"/>
    </row>
    <row r="7" spans="2:14" s="43" customFormat="1" ht="39" customHeight="1" x14ac:dyDescent="0.35">
      <c r="B7" s="40" t="s">
        <v>674</v>
      </c>
      <c r="C7" s="41"/>
      <c r="D7" s="464"/>
      <c r="E7" s="459" t="str" cm="1">
        <f t="array" aca="1" ref="E7" ca="1">IF(CELL("type",LPD_Benchmark_User_Defined)="v",LPD_Benchmark_User_Defined, "")</f>
        <v/>
      </c>
      <c r="F7" s="459" t="str" cm="1">
        <f t="array" aca="1" ref="F7" ca="1">IF(CELL("type",EUI_Benchmark_User_Defined)="v",EUI_Benchmark_User_Defined, "")</f>
        <v/>
      </c>
      <c r="G7" s="459" t="str" cm="1">
        <f t="array" aca="1" ref="G7" ca="1">IF(CELL("type",Operational_Carbon_Intensity_Benchmark_User_Defined)="v",Operational_Carbon_Intensity_Benchmark_User_Defined, "")</f>
        <v/>
      </c>
      <c r="H7" s="459" t="str" cm="1">
        <f t="array" aca="1" ref="H7" ca="1">IF(CELL("type",Water_Use_Intensity_Benchmark_User_Defined)="v",Water_Use_Intensity_Benchmark_User_Defined, "")</f>
        <v/>
      </c>
      <c r="I7" s="459"/>
      <c r="J7" s="459"/>
      <c r="K7" s="459"/>
      <c r="L7" s="459"/>
      <c r="M7" s="459"/>
      <c r="N7" s="42"/>
    </row>
    <row r="8" spans="2:14" s="47" customFormat="1" ht="39" customHeight="1" x14ac:dyDescent="0.35">
      <c r="B8" s="44" t="s">
        <v>675</v>
      </c>
      <c r="C8" s="45"/>
      <c r="D8" s="465">
        <f t="shared" ref="D8:M8" si="1">SUM(D9:D16)</f>
        <v>0</v>
      </c>
      <c r="E8" s="461">
        <f t="shared" si="1"/>
        <v>0</v>
      </c>
      <c r="F8" s="461">
        <f t="shared" si="1"/>
        <v>0</v>
      </c>
      <c r="G8" s="461">
        <f t="shared" si="1"/>
        <v>0</v>
      </c>
      <c r="H8" s="461">
        <f t="shared" si="1"/>
        <v>0</v>
      </c>
      <c r="I8" s="460">
        <f t="shared" si="1"/>
        <v>0</v>
      </c>
      <c r="J8" s="460">
        <f t="shared" si="1"/>
        <v>0</v>
      </c>
      <c r="K8" s="460">
        <f t="shared" si="1"/>
        <v>0</v>
      </c>
      <c r="L8" s="460">
        <f t="shared" si="1"/>
        <v>0</v>
      </c>
      <c r="M8" s="460">
        <f t="shared" si="1"/>
        <v>0</v>
      </c>
      <c r="N8" s="46"/>
    </row>
    <row r="9" spans="2:14" x14ac:dyDescent="0.3">
      <c r="B9" s="26" t="str">
        <f>Introduction!G30</f>
        <v>Building Program #1</v>
      </c>
      <c r="C9" s="26">
        <f>Introduction!H30</f>
        <v>0</v>
      </c>
      <c r="D9" s="462" t="str">
        <f>IFERROR(Introduction!K30,0)</f>
        <v/>
      </c>
      <c r="E9" s="463">
        <f t="shared" ref="E9:M16" si="2">IFERROR($D:$D*(VLOOKUP($C:$C,Building_Type_Table,$5:$5,FALSE)),0)</f>
        <v>0</v>
      </c>
      <c r="F9" s="463">
        <f t="shared" si="2"/>
        <v>0</v>
      </c>
      <c r="G9" s="463">
        <f t="shared" si="2"/>
        <v>0</v>
      </c>
      <c r="H9" s="463">
        <f t="shared" si="2"/>
        <v>0</v>
      </c>
      <c r="I9" s="463">
        <f t="shared" si="2"/>
        <v>0</v>
      </c>
      <c r="J9" s="463">
        <f t="shared" si="2"/>
        <v>0</v>
      </c>
      <c r="K9" s="463">
        <f t="shared" si="2"/>
        <v>0</v>
      </c>
      <c r="L9" s="463">
        <f t="shared" si="2"/>
        <v>0</v>
      </c>
      <c r="M9" s="463">
        <f t="shared" si="2"/>
        <v>0</v>
      </c>
      <c r="N9" s="48"/>
    </row>
    <row r="10" spans="2:14" x14ac:dyDescent="0.3">
      <c r="B10" s="26" t="str">
        <f>Introduction!G31</f>
        <v>Building Program #2</v>
      </c>
      <c r="C10" s="26">
        <f>Introduction!H31</f>
        <v>0</v>
      </c>
      <c r="D10" s="462" t="str">
        <f>IFERROR(Introduction!K31,0)</f>
        <v/>
      </c>
      <c r="E10" s="463">
        <f t="shared" si="2"/>
        <v>0</v>
      </c>
      <c r="F10" s="463">
        <f t="shared" si="2"/>
        <v>0</v>
      </c>
      <c r="G10" s="463">
        <f t="shared" si="2"/>
        <v>0</v>
      </c>
      <c r="H10" s="463">
        <f t="shared" si="2"/>
        <v>0</v>
      </c>
      <c r="I10" s="463">
        <f t="shared" si="2"/>
        <v>0</v>
      </c>
      <c r="J10" s="463">
        <f t="shared" si="2"/>
        <v>0</v>
      </c>
      <c r="K10" s="463">
        <f t="shared" si="2"/>
        <v>0</v>
      </c>
      <c r="L10" s="463">
        <f t="shared" si="2"/>
        <v>0</v>
      </c>
      <c r="M10" s="463">
        <f t="shared" si="2"/>
        <v>0</v>
      </c>
      <c r="N10" s="48"/>
    </row>
    <row r="11" spans="2:14" x14ac:dyDescent="0.3">
      <c r="B11" s="26" t="str">
        <f>Introduction!G32</f>
        <v>Building Program #3</v>
      </c>
      <c r="C11" s="26">
        <f>Introduction!H32</f>
        <v>0</v>
      </c>
      <c r="D11" s="462" t="str">
        <f>IFERROR(Introduction!K32,0)</f>
        <v/>
      </c>
      <c r="E11" s="463">
        <f t="shared" si="2"/>
        <v>0</v>
      </c>
      <c r="F11" s="463">
        <f t="shared" si="2"/>
        <v>0</v>
      </c>
      <c r="G11" s="463">
        <f t="shared" si="2"/>
        <v>0</v>
      </c>
      <c r="H11" s="463">
        <f t="shared" si="2"/>
        <v>0</v>
      </c>
      <c r="I11" s="463">
        <f t="shared" si="2"/>
        <v>0</v>
      </c>
      <c r="J11" s="463">
        <f t="shared" si="2"/>
        <v>0</v>
      </c>
      <c r="K11" s="463">
        <f t="shared" si="2"/>
        <v>0</v>
      </c>
      <c r="L11" s="463">
        <f t="shared" si="2"/>
        <v>0</v>
      </c>
      <c r="M11" s="463">
        <f t="shared" si="2"/>
        <v>0</v>
      </c>
      <c r="N11" s="48"/>
    </row>
    <row r="12" spans="2:14" x14ac:dyDescent="0.3">
      <c r="B12" s="26" t="str">
        <f>Introduction!G33</f>
        <v>Building Program #4</v>
      </c>
      <c r="C12" s="26">
        <f>Introduction!H33</f>
        <v>0</v>
      </c>
      <c r="D12" s="462" t="str">
        <f>IFERROR(Introduction!K33,0)</f>
        <v/>
      </c>
      <c r="E12" s="463">
        <f t="shared" si="2"/>
        <v>0</v>
      </c>
      <c r="F12" s="463">
        <f t="shared" si="2"/>
        <v>0</v>
      </c>
      <c r="G12" s="463">
        <f t="shared" si="2"/>
        <v>0</v>
      </c>
      <c r="H12" s="463">
        <f t="shared" si="2"/>
        <v>0</v>
      </c>
      <c r="I12" s="463">
        <f t="shared" si="2"/>
        <v>0</v>
      </c>
      <c r="J12" s="463">
        <f t="shared" si="2"/>
        <v>0</v>
      </c>
      <c r="K12" s="463">
        <f t="shared" si="2"/>
        <v>0</v>
      </c>
      <c r="L12" s="463">
        <f t="shared" si="2"/>
        <v>0</v>
      </c>
      <c r="M12" s="463">
        <f t="shared" si="2"/>
        <v>0</v>
      </c>
      <c r="N12" s="48"/>
    </row>
    <row r="13" spans="2:14" x14ac:dyDescent="0.3">
      <c r="B13" s="26" t="str">
        <f>Introduction!G34</f>
        <v>Building Program #5</v>
      </c>
      <c r="C13" s="26">
        <f>Introduction!H34</f>
        <v>0</v>
      </c>
      <c r="D13" s="462" t="str">
        <f>IFERROR(Introduction!K34,0)</f>
        <v/>
      </c>
      <c r="E13" s="463">
        <f t="shared" si="2"/>
        <v>0</v>
      </c>
      <c r="F13" s="463">
        <f t="shared" si="2"/>
        <v>0</v>
      </c>
      <c r="G13" s="463">
        <f t="shared" si="2"/>
        <v>0</v>
      </c>
      <c r="H13" s="463">
        <f t="shared" si="2"/>
        <v>0</v>
      </c>
      <c r="I13" s="463">
        <f t="shared" si="2"/>
        <v>0</v>
      </c>
      <c r="J13" s="463">
        <f t="shared" si="2"/>
        <v>0</v>
      </c>
      <c r="K13" s="463">
        <f t="shared" si="2"/>
        <v>0</v>
      </c>
      <c r="L13" s="463">
        <f t="shared" si="2"/>
        <v>0</v>
      </c>
      <c r="M13" s="463">
        <f t="shared" si="2"/>
        <v>0</v>
      </c>
      <c r="N13" s="48"/>
    </row>
    <row r="14" spans="2:14" x14ac:dyDescent="0.3">
      <c r="B14" s="26" t="str">
        <f>Introduction!G35</f>
        <v>Building Program #6</v>
      </c>
      <c r="C14" s="26">
        <f>Introduction!H35</f>
        <v>0</v>
      </c>
      <c r="D14" s="462" t="str">
        <f>IFERROR(Introduction!K35,0)</f>
        <v/>
      </c>
      <c r="E14" s="463">
        <f t="shared" si="2"/>
        <v>0</v>
      </c>
      <c r="F14" s="463">
        <f t="shared" si="2"/>
        <v>0</v>
      </c>
      <c r="G14" s="463">
        <f t="shared" si="2"/>
        <v>0</v>
      </c>
      <c r="H14" s="463">
        <f t="shared" si="2"/>
        <v>0</v>
      </c>
      <c r="I14" s="463">
        <f t="shared" si="2"/>
        <v>0</v>
      </c>
      <c r="J14" s="463">
        <f t="shared" si="2"/>
        <v>0</v>
      </c>
      <c r="K14" s="463">
        <f t="shared" si="2"/>
        <v>0</v>
      </c>
      <c r="L14" s="463">
        <f t="shared" si="2"/>
        <v>0</v>
      </c>
      <c r="M14" s="463">
        <f t="shared" si="2"/>
        <v>0</v>
      </c>
      <c r="N14" s="48"/>
    </row>
    <row r="15" spans="2:14" x14ac:dyDescent="0.3">
      <c r="B15" s="26" t="str">
        <f>Introduction!G36</f>
        <v>Building Program #7</v>
      </c>
      <c r="C15" s="26">
        <f>Introduction!H36</f>
        <v>0</v>
      </c>
      <c r="D15" s="462" t="str">
        <f>IFERROR(Introduction!K36,0)</f>
        <v/>
      </c>
      <c r="E15" s="463">
        <f t="shared" si="2"/>
        <v>0</v>
      </c>
      <c r="F15" s="463">
        <f t="shared" si="2"/>
        <v>0</v>
      </c>
      <c r="G15" s="463">
        <f t="shared" si="2"/>
        <v>0</v>
      </c>
      <c r="H15" s="463">
        <f t="shared" si="2"/>
        <v>0</v>
      </c>
      <c r="I15" s="463">
        <f t="shared" si="2"/>
        <v>0</v>
      </c>
      <c r="J15" s="463">
        <f t="shared" si="2"/>
        <v>0</v>
      </c>
      <c r="K15" s="463">
        <f t="shared" si="2"/>
        <v>0</v>
      </c>
      <c r="L15" s="463">
        <f t="shared" si="2"/>
        <v>0</v>
      </c>
      <c r="M15" s="463">
        <f t="shared" si="2"/>
        <v>0</v>
      </c>
      <c r="N15" s="48"/>
    </row>
    <row r="16" spans="2:14" x14ac:dyDescent="0.3">
      <c r="B16" s="26" t="str">
        <f>Introduction!G37</f>
        <v>Building Program #8</v>
      </c>
      <c r="C16" s="26">
        <f>Introduction!H37</f>
        <v>0</v>
      </c>
      <c r="D16" s="462" t="str">
        <f>IFERROR(Introduction!K37,0)</f>
        <v/>
      </c>
      <c r="E16" s="463">
        <f t="shared" si="2"/>
        <v>0</v>
      </c>
      <c r="F16" s="463">
        <f t="shared" si="2"/>
        <v>0</v>
      </c>
      <c r="G16" s="463">
        <f t="shared" si="2"/>
        <v>0</v>
      </c>
      <c r="H16" s="463">
        <f t="shared" si="2"/>
        <v>0</v>
      </c>
      <c r="I16" s="463">
        <f t="shared" si="2"/>
        <v>0</v>
      </c>
      <c r="J16" s="463">
        <f t="shared" si="2"/>
        <v>0</v>
      </c>
      <c r="K16" s="463">
        <f t="shared" si="2"/>
        <v>0</v>
      </c>
      <c r="L16" s="463">
        <f t="shared" si="2"/>
        <v>0</v>
      </c>
      <c r="M16" s="463">
        <f t="shared" si="2"/>
        <v>0</v>
      </c>
      <c r="N16" s="48"/>
    </row>
  </sheetData>
  <sheetProtection algorithmName="SHA-512" hashValue="ZJxRb+5WVVNblH+hknR0JfaW5XhrXmbtdxJHTxZBgvbBlPa0E0bfsMxS+sFG5KMNvvSE0IL/3HyUd9rWlHpReA==" saltValue="nUgYbf785sgvQv+K10Fm6w==" spinCount="100000" sheet="1" objects="1" scenarios="1"/>
  <pageMargins left="0.7" right="0.7" top="0.75" bottom="0.75" header="0.3" footer="0.3"/>
  <pageSetup orientation="portrait"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5BAC48-C646-4006-B0BC-678257F360ED}">
  <sheetPr codeName="Sheet16"/>
  <dimension ref="A1:C13"/>
  <sheetViews>
    <sheetView workbookViewId="0">
      <selection sqref="A1:C1"/>
    </sheetView>
  </sheetViews>
  <sheetFormatPr defaultRowHeight="14.5" x14ac:dyDescent="0.35"/>
  <cols>
    <col min="2" max="2" width="15.08984375" bestFit="1" customWidth="1"/>
    <col min="3" max="3" width="123.6328125" bestFit="1" customWidth="1"/>
  </cols>
  <sheetData>
    <row r="1" spans="1:3" ht="21" x14ac:dyDescent="0.35">
      <c r="A1" s="1579" t="s">
        <v>677</v>
      </c>
      <c r="B1" s="1579"/>
      <c r="C1" s="1579"/>
    </row>
    <row r="2" spans="1:3" s="328" customFormat="1" x14ac:dyDescent="0.35">
      <c r="A2" s="328" t="s">
        <v>678</v>
      </c>
      <c r="B2" s="328" t="s">
        <v>679</v>
      </c>
      <c r="C2" s="328" t="s">
        <v>680</v>
      </c>
    </row>
    <row r="3" spans="1:3" x14ac:dyDescent="0.35">
      <c r="A3" s="306"/>
      <c r="B3" s="306"/>
      <c r="C3" s="306"/>
    </row>
    <row r="4" spans="1:3" x14ac:dyDescent="0.35">
      <c r="A4" s="306"/>
      <c r="B4" s="306"/>
      <c r="C4" s="306"/>
    </row>
    <row r="5" spans="1:3" x14ac:dyDescent="0.35">
      <c r="A5" s="306"/>
      <c r="B5" s="306"/>
      <c r="C5" s="306"/>
    </row>
    <row r="6" spans="1:3" x14ac:dyDescent="0.35">
      <c r="A6" s="306"/>
      <c r="B6" s="306"/>
      <c r="C6" s="306"/>
    </row>
    <row r="7" spans="1:3" x14ac:dyDescent="0.35">
      <c r="A7" s="306"/>
      <c r="B7" s="306"/>
      <c r="C7" s="306"/>
    </row>
    <row r="8" spans="1:3" x14ac:dyDescent="0.35">
      <c r="A8" s="306"/>
      <c r="B8" s="306"/>
      <c r="C8" s="306"/>
    </row>
    <row r="9" spans="1:3" x14ac:dyDescent="0.35">
      <c r="A9" s="306"/>
      <c r="B9" s="306"/>
      <c r="C9" s="306"/>
    </row>
    <row r="10" spans="1:3" x14ac:dyDescent="0.35">
      <c r="A10" s="306"/>
      <c r="B10" s="306"/>
      <c r="C10" s="306"/>
    </row>
    <row r="11" spans="1:3" x14ac:dyDescent="0.35">
      <c r="A11" s="306"/>
      <c r="B11" s="306"/>
      <c r="C11" s="306"/>
    </row>
    <row r="12" spans="1:3" x14ac:dyDescent="0.35">
      <c r="A12" s="306"/>
      <c r="B12" s="306"/>
      <c r="C12" s="306"/>
    </row>
    <row r="13" spans="1:3" x14ac:dyDescent="0.35">
      <c r="A13" s="306"/>
      <c r="B13" s="306"/>
      <c r="C13" s="306"/>
    </row>
  </sheetData>
  <mergeCells count="1">
    <mergeCell ref="A1:C1"/>
  </mergeCells>
  <phoneticPr fontId="39"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A1594-5BC7-407C-A541-B399A62A9F9D}">
  <sheetPr codeName="Sheet2"/>
  <dimension ref="A1:U22"/>
  <sheetViews>
    <sheetView workbookViewId="0">
      <selection activeCell="C14" sqref="C14"/>
    </sheetView>
  </sheetViews>
  <sheetFormatPr defaultColWidth="8.90625" defaultRowHeight="14.5" x14ac:dyDescent="0.35"/>
  <cols>
    <col min="1" max="1" width="4.08984375" customWidth="1"/>
    <col min="2" max="4" width="20.6328125" customWidth="1"/>
    <col min="5" max="6" width="3.6328125" customWidth="1"/>
    <col min="7" max="7" width="17.90625" customWidth="1"/>
    <col min="8" max="12" width="20.6328125" customWidth="1"/>
    <col min="13" max="13" width="3.6328125" customWidth="1"/>
  </cols>
  <sheetData>
    <row r="1" spans="1:21" ht="21.5" thickBot="1" x14ac:dyDescent="0.4">
      <c r="A1" s="483"/>
      <c r="B1" s="1608" t="s">
        <v>688</v>
      </c>
      <c r="C1" s="1609"/>
      <c r="D1" s="1609"/>
      <c r="E1" s="689"/>
      <c r="F1" s="689"/>
      <c r="G1" s="689"/>
      <c r="H1" s="689"/>
      <c r="I1" s="689"/>
      <c r="J1" s="689"/>
      <c r="K1" s="689"/>
      <c r="L1" s="689"/>
      <c r="M1" s="689"/>
      <c r="N1" s="689"/>
      <c r="O1" s="689"/>
      <c r="P1" s="689"/>
      <c r="Q1" s="689"/>
      <c r="R1" s="689"/>
      <c r="S1" s="689"/>
      <c r="T1" s="689"/>
      <c r="U1" s="689"/>
    </row>
    <row r="2" spans="1:21" x14ac:dyDescent="0.35">
      <c r="A2" s="632"/>
      <c r="B2" s="690"/>
      <c r="C2" s="691"/>
      <c r="D2" s="691"/>
      <c r="E2" s="690"/>
      <c r="F2" s="690"/>
      <c r="G2" s="692"/>
      <c r="H2" s="690"/>
      <c r="I2" s="690"/>
      <c r="J2" s="690"/>
      <c r="K2" s="690"/>
      <c r="L2" s="690"/>
      <c r="M2" s="690"/>
      <c r="N2" s="690"/>
      <c r="O2" s="690"/>
      <c r="P2" s="690"/>
      <c r="Q2" s="690"/>
      <c r="R2" s="690"/>
      <c r="S2" s="690"/>
      <c r="T2" s="690"/>
      <c r="U2" s="690"/>
    </row>
    <row r="3" spans="1:21" s="694" customFormat="1" ht="15" thickBot="1" x14ac:dyDescent="0.4">
      <c r="A3" s="693"/>
      <c r="B3" s="493" t="s">
        <v>71</v>
      </c>
      <c r="C3" s="693"/>
      <c r="D3" s="493"/>
      <c r="E3" s="493"/>
      <c r="F3" s="493" t="s">
        <v>685</v>
      </c>
      <c r="H3" s="493"/>
      <c r="I3" s="693"/>
      <c r="J3" s="493"/>
      <c r="K3" s="693"/>
      <c r="L3" s="693"/>
      <c r="M3" s="693"/>
      <c r="N3" s="693"/>
      <c r="O3" s="693"/>
      <c r="P3" s="693"/>
      <c r="Q3" s="693"/>
      <c r="R3" s="693"/>
      <c r="S3" s="693"/>
      <c r="T3" s="693"/>
      <c r="U3" s="693"/>
    </row>
    <row r="4" spans="1:21" s="632" customFormat="1" x14ac:dyDescent="0.35">
      <c r="A4" s="484"/>
      <c r="B4" s="695" t="s">
        <v>72</v>
      </c>
      <c r="C4" s="696"/>
      <c r="D4" s="697"/>
      <c r="E4" s="698"/>
      <c r="F4" s="1085" t="s">
        <v>689</v>
      </c>
      <c r="G4" s="1086"/>
      <c r="H4" s="1086"/>
      <c r="I4" s="1086"/>
      <c r="J4" s="1086"/>
      <c r="K4" s="1086"/>
      <c r="L4" s="1086"/>
      <c r="M4" s="1087"/>
      <c r="N4" s="699"/>
      <c r="O4" s="699"/>
      <c r="P4" s="699"/>
      <c r="Q4" s="699"/>
      <c r="R4" s="699"/>
      <c r="S4" s="699"/>
      <c r="T4" s="699"/>
      <c r="U4" s="699"/>
    </row>
    <row r="5" spans="1:21" x14ac:dyDescent="0.35">
      <c r="A5" s="700"/>
      <c r="B5" s="1610" t="s">
        <v>975</v>
      </c>
      <c r="C5" s="1610"/>
      <c r="D5" s="1610"/>
      <c r="E5" s="701"/>
      <c r="F5" s="702"/>
      <c r="G5" s="703"/>
      <c r="H5" s="704"/>
      <c r="I5" s="704"/>
      <c r="J5" s="704"/>
      <c r="K5" s="704"/>
      <c r="L5" s="704"/>
      <c r="M5" s="705"/>
      <c r="N5" s="706"/>
      <c r="O5" s="707"/>
      <c r="P5" s="707"/>
      <c r="Q5" s="707"/>
      <c r="R5" s="707"/>
      <c r="S5" s="707"/>
      <c r="T5" s="707"/>
      <c r="U5" s="707"/>
    </row>
    <row r="6" spans="1:21" x14ac:dyDescent="0.35">
      <c r="A6" s="700"/>
      <c r="B6" s="1610"/>
      <c r="C6" s="1610"/>
      <c r="D6" s="1610"/>
      <c r="E6" s="701"/>
      <c r="F6" s="708"/>
      <c r="G6" s="1612"/>
      <c r="H6" s="1613"/>
      <c r="I6" s="1613"/>
      <c r="J6" s="1613"/>
      <c r="K6" s="1613"/>
      <c r="L6" s="1614"/>
      <c r="M6" s="709"/>
      <c r="N6" s="706"/>
      <c r="O6" s="707"/>
      <c r="P6" s="707"/>
      <c r="Q6" s="707"/>
      <c r="R6" s="707"/>
      <c r="S6" s="707"/>
      <c r="T6" s="707"/>
      <c r="U6" s="707"/>
    </row>
    <row r="7" spans="1:21" x14ac:dyDescent="0.35">
      <c r="A7" s="700"/>
      <c r="B7" s="1610"/>
      <c r="C7" s="1610"/>
      <c r="D7" s="1610"/>
      <c r="E7" s="701"/>
      <c r="F7" s="708"/>
      <c r="G7" s="1615"/>
      <c r="H7" s="1616"/>
      <c r="I7" s="1616"/>
      <c r="J7" s="1616"/>
      <c r="K7" s="1616"/>
      <c r="L7" s="1617"/>
      <c r="M7" s="709"/>
      <c r="N7" s="706"/>
      <c r="O7" s="707"/>
      <c r="P7" s="707"/>
      <c r="Q7" s="707"/>
      <c r="R7" s="707"/>
      <c r="S7" s="707"/>
      <c r="T7" s="707"/>
      <c r="U7" s="707"/>
    </row>
    <row r="8" spans="1:21" ht="15" customHeight="1" x14ac:dyDescent="0.35">
      <c r="A8" s="700"/>
      <c r="B8" s="710"/>
      <c r="C8" s="484"/>
      <c r="D8" s="711"/>
      <c r="E8" s="712"/>
      <c r="F8" s="713"/>
      <c r="G8" s="1615"/>
      <c r="H8" s="1616"/>
      <c r="I8" s="1616"/>
      <c r="J8" s="1616"/>
      <c r="K8" s="1616"/>
      <c r="L8" s="1617"/>
      <c r="M8" s="714"/>
      <c r="N8" s="706"/>
      <c r="O8" s="707"/>
      <c r="P8" s="707"/>
      <c r="Q8" s="707"/>
      <c r="R8" s="707"/>
      <c r="S8" s="707"/>
      <c r="T8" s="707"/>
      <c r="U8" s="707"/>
    </row>
    <row r="9" spans="1:21" ht="50.15" customHeight="1" x14ac:dyDescent="0.35">
      <c r="A9" s="715"/>
      <c r="B9" s="716" t="s">
        <v>73</v>
      </c>
      <c r="C9" s="717"/>
      <c r="D9" s="718"/>
      <c r="E9" s="719"/>
      <c r="F9" s="720"/>
      <c r="G9" s="1618"/>
      <c r="H9" s="1619"/>
      <c r="I9" s="1619"/>
      <c r="J9" s="1619"/>
      <c r="K9" s="1619"/>
      <c r="L9" s="1619"/>
      <c r="M9" s="721"/>
      <c r="N9" s="706"/>
      <c r="O9" s="707"/>
      <c r="P9" s="707"/>
      <c r="Q9" s="707"/>
      <c r="R9" s="707"/>
      <c r="S9" s="707"/>
      <c r="T9" s="707"/>
      <c r="U9" s="707"/>
    </row>
    <row r="10" spans="1:21" ht="50.15" customHeight="1" x14ac:dyDescent="0.35">
      <c r="A10" s="722"/>
      <c r="B10" s="290" t="s">
        <v>74</v>
      </c>
      <c r="C10" s="723" t="s">
        <v>75</v>
      </c>
      <c r="D10" s="724"/>
      <c r="E10" s="725"/>
      <c r="F10" s="726"/>
      <c r="G10" s="727"/>
      <c r="H10" s="728"/>
      <c r="I10" s="728"/>
      <c r="J10" s="728"/>
      <c r="K10" s="728"/>
      <c r="L10" s="728"/>
      <c r="M10" s="729"/>
      <c r="N10" s="706"/>
      <c r="O10" s="707"/>
      <c r="P10" s="707"/>
      <c r="Q10" s="707"/>
      <c r="R10" s="707"/>
      <c r="S10" s="707"/>
      <c r="T10" s="707"/>
      <c r="U10" s="707"/>
    </row>
    <row r="11" spans="1:21" ht="50.15" customHeight="1" x14ac:dyDescent="0.35">
      <c r="A11" s="722"/>
      <c r="B11" s="730" t="s">
        <v>76</v>
      </c>
      <c r="C11" s="730" t="s">
        <v>77</v>
      </c>
      <c r="D11" s="731" t="s">
        <v>78</v>
      </c>
      <c r="E11" s="732"/>
      <c r="F11" s="732"/>
      <c r="G11" s="733"/>
      <c r="H11" s="715"/>
      <c r="I11" s="734"/>
      <c r="J11" s="735"/>
      <c r="K11" s="735"/>
      <c r="L11" s="734"/>
      <c r="M11" s="736"/>
      <c r="N11" s="707"/>
      <c r="O11" s="707"/>
      <c r="P11" s="707"/>
      <c r="Q11" s="707"/>
      <c r="R11" s="707"/>
      <c r="S11" s="737"/>
      <c r="T11" s="737"/>
      <c r="U11" s="737"/>
    </row>
    <row r="12" spans="1:21" ht="50.15" customHeight="1" x14ac:dyDescent="0.35">
      <c r="A12" s="722"/>
      <c r="B12" s="730" t="s">
        <v>79</v>
      </c>
      <c r="C12" s="730" t="s">
        <v>80</v>
      </c>
      <c r="D12" s="730" t="s">
        <v>81</v>
      </c>
      <c r="E12" s="1611" t="s">
        <v>82</v>
      </c>
      <c r="F12" s="1611"/>
      <c r="G12" s="1611"/>
      <c r="H12" s="632"/>
      <c r="I12" s="734"/>
      <c r="J12" s="718"/>
      <c r="K12" s="718"/>
      <c r="L12" s="736"/>
      <c r="M12" s="736"/>
      <c r="N12" s="707"/>
      <c r="O12" s="707"/>
      <c r="P12" s="707"/>
      <c r="Q12" s="707"/>
      <c r="R12" s="707"/>
      <c r="S12" s="737"/>
      <c r="T12" s="737"/>
      <c r="U12" s="737"/>
    </row>
    <row r="13" spans="1:21" ht="50.15" customHeight="1" x14ac:dyDescent="0.35">
      <c r="A13" s="722"/>
      <c r="B13" s="730" t="s">
        <v>83</v>
      </c>
      <c r="C13" s="730" t="s">
        <v>84</v>
      </c>
      <c r="D13" s="730" t="s">
        <v>85</v>
      </c>
      <c r="E13" s="1607" t="s">
        <v>86</v>
      </c>
      <c r="F13" s="1607"/>
      <c r="G13" s="1607"/>
      <c r="H13" s="738" t="s">
        <v>87</v>
      </c>
      <c r="I13" s="734"/>
      <c r="J13" s="718"/>
      <c r="K13" s="718"/>
      <c r="L13" s="736"/>
      <c r="M13" s="736"/>
      <c r="N13" s="707"/>
      <c r="O13" s="707"/>
      <c r="P13" s="707"/>
      <c r="Q13" s="707"/>
      <c r="R13" s="707"/>
      <c r="S13" s="737"/>
      <c r="T13" s="737"/>
      <c r="U13" s="737"/>
    </row>
    <row r="14" spans="1:21" ht="50.15" customHeight="1" x14ac:dyDescent="0.35">
      <c r="A14" s="722"/>
      <c r="B14" s="730" t="s">
        <v>88</v>
      </c>
      <c r="C14" s="730" t="s">
        <v>89</v>
      </c>
      <c r="D14" s="730" t="s">
        <v>90</v>
      </c>
      <c r="E14" s="1607" t="s">
        <v>91</v>
      </c>
      <c r="F14" s="1607"/>
      <c r="G14" s="1607"/>
      <c r="H14" s="730" t="s">
        <v>92</v>
      </c>
      <c r="I14" s="738" t="s">
        <v>93</v>
      </c>
      <c r="J14" s="718"/>
      <c r="K14" s="718"/>
      <c r="L14" s="736"/>
      <c r="M14" s="736"/>
      <c r="N14" s="707"/>
      <c r="O14" s="707"/>
      <c r="P14" s="707"/>
      <c r="Q14" s="707"/>
      <c r="R14" s="707"/>
      <c r="S14" s="707"/>
      <c r="T14" s="707"/>
      <c r="U14" s="707"/>
    </row>
    <row r="15" spans="1:21" ht="50.15" customHeight="1" x14ac:dyDescent="0.35">
      <c r="A15" s="722"/>
      <c r="B15" s="730" t="s">
        <v>94</v>
      </c>
      <c r="C15" s="730" t="s">
        <v>95</v>
      </c>
      <c r="D15" s="739" t="s">
        <v>96</v>
      </c>
      <c r="E15" s="1607" t="s">
        <v>97</v>
      </c>
      <c r="F15" s="1607"/>
      <c r="G15" s="1607"/>
      <c r="H15" s="730" t="s">
        <v>98</v>
      </c>
      <c r="I15" s="730" t="s">
        <v>99</v>
      </c>
      <c r="J15" s="738" t="s">
        <v>100</v>
      </c>
      <c r="K15" s="718"/>
      <c r="L15" s="736"/>
      <c r="M15" s="736"/>
      <c r="N15" s="707"/>
      <c r="O15" s="707"/>
      <c r="P15" s="707"/>
      <c r="Q15" s="707"/>
      <c r="R15" s="707"/>
      <c r="S15" s="707"/>
      <c r="T15" s="707"/>
      <c r="U15" s="707"/>
    </row>
    <row r="16" spans="1:21" ht="50.15" customHeight="1" x14ac:dyDescent="0.35">
      <c r="A16" s="722"/>
      <c r="B16" s="730" t="s">
        <v>101</v>
      </c>
      <c r="C16" s="730" t="s">
        <v>102</v>
      </c>
      <c r="D16" s="730" t="s">
        <v>103</v>
      </c>
      <c r="E16" s="1607" t="s">
        <v>104</v>
      </c>
      <c r="F16" s="1607"/>
      <c r="G16" s="1607"/>
      <c r="H16" s="730" t="s">
        <v>105</v>
      </c>
      <c r="I16" s="730" t="s">
        <v>106</v>
      </c>
      <c r="J16" s="730" t="s">
        <v>107</v>
      </c>
      <c r="K16" s="738" t="s">
        <v>108</v>
      </c>
      <c r="L16" s="736"/>
      <c r="M16" s="736"/>
      <c r="N16" s="707"/>
      <c r="O16" s="707"/>
      <c r="P16" s="707"/>
      <c r="Q16" s="707"/>
      <c r="R16" s="707"/>
      <c r="S16" s="707"/>
      <c r="T16" s="707"/>
      <c r="U16" s="707"/>
    </row>
    <row r="17" spans="1:21" ht="50.15" customHeight="1" x14ac:dyDescent="0.35">
      <c r="A17" s="722"/>
      <c r="B17" s="730" t="s">
        <v>109</v>
      </c>
      <c r="C17" s="730" t="s">
        <v>110</v>
      </c>
      <c r="D17" s="730" t="s">
        <v>111</v>
      </c>
      <c r="E17" s="1607" t="s">
        <v>112</v>
      </c>
      <c r="F17" s="1607"/>
      <c r="G17" s="1607"/>
      <c r="H17" s="730" t="s">
        <v>113</v>
      </c>
      <c r="I17" s="730" t="s">
        <v>114</v>
      </c>
      <c r="J17" s="730" t="s">
        <v>115</v>
      </c>
      <c r="K17" s="730" t="s">
        <v>116</v>
      </c>
      <c r="L17" s="738" t="s">
        <v>117</v>
      </c>
      <c r="M17" s="736"/>
      <c r="N17" s="707"/>
      <c r="O17" s="707"/>
      <c r="P17" s="707"/>
      <c r="Q17" s="707"/>
      <c r="R17" s="707"/>
      <c r="S17" s="707"/>
      <c r="T17" s="707"/>
      <c r="U17" s="707"/>
    </row>
    <row r="18" spans="1:21" x14ac:dyDescent="0.35">
      <c r="A18" s="632"/>
      <c r="B18" s="690"/>
      <c r="C18" s="690"/>
      <c r="D18" s="690"/>
      <c r="E18" s="690"/>
      <c r="F18" s="690"/>
      <c r="G18" s="690"/>
      <c r="H18" s="690"/>
      <c r="I18" s="690"/>
      <c r="J18" s="690"/>
      <c r="K18" s="690"/>
      <c r="L18" s="724"/>
      <c r="M18" s="740"/>
      <c r="N18" s="707"/>
      <c r="O18" s="707"/>
      <c r="P18" s="707"/>
      <c r="Q18" s="707"/>
      <c r="R18" s="707"/>
      <c r="S18" s="707"/>
      <c r="T18" s="707"/>
      <c r="U18" s="707"/>
    </row>
    <row r="19" spans="1:21" x14ac:dyDescent="0.35">
      <c r="A19" s="329"/>
      <c r="B19" s="329"/>
      <c r="C19" s="329"/>
      <c r="D19" s="329"/>
      <c r="E19" s="329"/>
      <c r="F19" s="329"/>
      <c r="G19" s="329"/>
      <c r="H19" s="329"/>
      <c r="I19" s="329"/>
      <c r="J19" s="329"/>
      <c r="K19" s="329"/>
      <c r="L19" s="329"/>
      <c r="M19" s="707"/>
      <c r="N19" s="707"/>
      <c r="O19" s="707"/>
      <c r="P19" s="707"/>
      <c r="Q19" s="707"/>
      <c r="R19" s="707"/>
      <c r="S19" s="707"/>
      <c r="T19" s="707"/>
      <c r="U19" s="707"/>
    </row>
    <row r="20" spans="1:21" x14ac:dyDescent="0.35">
      <c r="A20" s="329"/>
      <c r="B20" s="329"/>
      <c r="C20" s="329"/>
      <c r="D20" s="329"/>
      <c r="E20" s="329"/>
      <c r="F20" s="329"/>
      <c r="G20" s="329"/>
      <c r="H20" s="329"/>
      <c r="I20" s="329"/>
      <c r="J20" s="329"/>
      <c r="K20" s="329"/>
      <c r="L20" s="329"/>
      <c r="M20" s="332"/>
      <c r="N20" s="707"/>
      <c r="O20" s="707"/>
      <c r="P20" s="707"/>
      <c r="Q20" s="707"/>
      <c r="R20" s="707"/>
      <c r="S20" s="707"/>
      <c r="T20" s="707"/>
      <c r="U20" s="707"/>
    </row>
    <row r="21" spans="1:21" x14ac:dyDescent="0.35">
      <c r="A21" s="329"/>
      <c r="B21" s="329"/>
      <c r="C21" s="329"/>
      <c r="D21" s="329"/>
      <c r="E21" s="329"/>
      <c r="F21" s="329"/>
      <c r="G21" s="329"/>
      <c r="H21" s="329"/>
      <c r="I21" s="329"/>
      <c r="J21" s="329"/>
      <c r="K21" s="329"/>
      <c r="L21" s="329"/>
      <c r="M21" s="332"/>
      <c r="N21" s="707"/>
      <c r="O21" s="707"/>
      <c r="P21" s="707"/>
      <c r="Q21" s="707"/>
      <c r="R21" s="707"/>
      <c r="S21" s="707"/>
      <c r="T21" s="707"/>
      <c r="U21" s="707"/>
    </row>
    <row r="22" spans="1:21" x14ac:dyDescent="0.35">
      <c r="A22" s="329"/>
      <c r="B22" s="329"/>
      <c r="C22" s="329"/>
      <c r="D22" s="329"/>
      <c r="E22" s="329"/>
      <c r="F22" s="329"/>
      <c r="G22" s="329"/>
      <c r="H22" s="329"/>
      <c r="I22" s="329"/>
      <c r="J22" s="329"/>
      <c r="K22" s="329"/>
      <c r="L22" s="329"/>
      <c r="M22" s="332"/>
      <c r="N22" s="707"/>
      <c r="O22" s="707"/>
      <c r="P22" s="707"/>
      <c r="Q22" s="707"/>
      <c r="R22" s="707"/>
      <c r="S22" s="707"/>
      <c r="T22" s="707"/>
      <c r="U22" s="707"/>
    </row>
  </sheetData>
  <sheetProtection algorithmName="SHA-512" hashValue="ET4nAl4afXKTM14kj/eQtxQdGXUvaOPYLfVF0hNmb3hDCZskDQ9j66w5YXJ9SNnA7jV2Rfr5v9ZmtAJdaxc67w==" saltValue="QnfKiRyuk4LGb4RJkL5sPg==" spinCount="100000" sheet="1" objects="1" scenarios="1"/>
  <mergeCells count="9">
    <mergeCell ref="E15:G15"/>
    <mergeCell ref="E16:G16"/>
    <mergeCell ref="E17:G17"/>
    <mergeCell ref="B1:D1"/>
    <mergeCell ref="B5:D7"/>
    <mergeCell ref="E12:G12"/>
    <mergeCell ref="E13:G13"/>
    <mergeCell ref="E14:G14"/>
    <mergeCell ref="G6:L9"/>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outlinePr summaryBelow="0" summaryRight="0"/>
  </sheetPr>
  <dimension ref="A1:AO138"/>
  <sheetViews>
    <sheetView workbookViewId="0">
      <selection activeCell="H13" sqref="H13"/>
    </sheetView>
  </sheetViews>
  <sheetFormatPr defaultColWidth="14.453125" defaultRowHeight="15" customHeight="1" x14ac:dyDescent="0.3"/>
  <cols>
    <col min="1" max="1" width="4.08984375" style="743" customWidth="1"/>
    <col min="2" max="2" width="40.6328125" style="743" customWidth="1"/>
    <col min="3" max="3" width="3.54296875" style="743" customWidth="1"/>
    <col min="4" max="4" width="3.6328125" style="743" customWidth="1"/>
    <col min="5" max="5" width="57.36328125" style="743" bestFit="1" customWidth="1"/>
    <col min="6" max="6" width="20.6328125" style="804" customWidth="1"/>
    <col min="7" max="7" width="12.6328125" style="743" customWidth="1"/>
    <col min="8" max="8" width="19.453125" style="743" bestFit="1" customWidth="1"/>
    <col min="9" max="9" width="3.6328125" style="743" customWidth="1"/>
    <col min="10" max="10" width="3.36328125" style="743" customWidth="1"/>
    <col min="11" max="11" width="12.6328125" style="743" customWidth="1"/>
    <col min="12" max="12" width="5.36328125" style="743" customWidth="1"/>
    <col min="13" max="13" width="14.08984375" style="743" customWidth="1"/>
    <col min="14" max="14" width="14.08984375" style="743" bestFit="1" customWidth="1"/>
    <col min="15" max="15" width="10" style="743" bestFit="1" customWidth="1"/>
    <col min="16" max="16" width="16.36328125" style="743" bestFit="1" customWidth="1"/>
    <col min="17" max="17" width="3.36328125" style="743" customWidth="1"/>
    <col min="18" max="18" width="29.453125" style="743" customWidth="1"/>
    <col min="19" max="19" width="5" style="743" bestFit="1" customWidth="1"/>
    <col min="20" max="20" width="12.6328125" style="743" bestFit="1" customWidth="1"/>
    <col min="21" max="21" width="39.453125" style="743" bestFit="1" customWidth="1"/>
    <col min="22" max="22" width="8.6328125" style="743" customWidth="1"/>
    <col min="23" max="16384" width="14.453125" style="743"/>
  </cols>
  <sheetData>
    <row r="1" spans="1:41" ht="21.5" thickBot="1" x14ac:dyDescent="0.35">
      <c r="A1" s="51"/>
      <c r="B1" s="1391" t="s">
        <v>690</v>
      </c>
      <c r="C1" s="1391"/>
      <c r="D1" s="1391"/>
      <c r="E1" s="1391"/>
      <c r="F1" s="1391"/>
      <c r="G1" s="1391"/>
      <c r="H1" s="1391"/>
      <c r="I1" s="1391"/>
      <c r="J1" s="1391"/>
      <c r="K1" s="1391"/>
      <c r="L1" s="1391"/>
      <c r="M1" s="1391"/>
      <c r="N1" s="1391"/>
      <c r="O1" s="1391"/>
      <c r="P1" s="1391"/>
      <c r="Q1" s="1391"/>
      <c r="R1" s="1391"/>
      <c r="S1" s="1391"/>
      <c r="T1" s="1391"/>
      <c r="U1" s="1392"/>
      <c r="V1" s="1"/>
      <c r="W1" s="1"/>
      <c r="X1" s="1"/>
      <c r="Y1" s="1"/>
      <c r="Z1" s="1"/>
      <c r="AA1" s="1"/>
      <c r="AB1" s="1"/>
      <c r="AC1" s="1"/>
      <c r="AD1" s="1"/>
      <c r="AE1" s="1"/>
      <c r="AF1" s="1"/>
      <c r="AG1" s="1"/>
      <c r="AH1" s="1"/>
      <c r="AI1" s="1"/>
      <c r="AJ1" s="1"/>
      <c r="AK1" s="1"/>
      <c r="AL1" s="1"/>
      <c r="AM1" s="1"/>
      <c r="AN1" s="1"/>
      <c r="AO1" s="1"/>
    </row>
    <row r="2" spans="1:41" ht="15" customHeight="1" x14ac:dyDescent="0.3">
      <c r="A2" s="1"/>
      <c r="B2" s="1"/>
      <c r="C2" s="1"/>
      <c r="D2" s="1"/>
      <c r="E2" s="1"/>
      <c r="F2" s="744"/>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row>
    <row r="3" spans="1:41" s="748" customFormat="1" ht="15" customHeight="1" thickBot="1" x14ac:dyDescent="0.35">
      <c r="A3" s="745"/>
      <c r="B3" s="746" t="s">
        <v>71</v>
      </c>
      <c r="C3" s="745"/>
      <c r="D3" s="1142" t="s">
        <v>683</v>
      </c>
      <c r="E3" s="1142"/>
      <c r="F3" s="744"/>
      <c r="G3" s="1"/>
      <c r="H3" s="1"/>
      <c r="I3" s="1"/>
      <c r="J3" s="745"/>
      <c r="K3" s="746" t="s">
        <v>118</v>
      </c>
      <c r="L3" s="745"/>
      <c r="M3" s="745"/>
      <c r="N3" s="745"/>
      <c r="O3" s="745"/>
      <c r="P3" s="745"/>
      <c r="Q3" s="745"/>
      <c r="R3" s="746" t="s">
        <v>119</v>
      </c>
      <c r="S3" s="745"/>
      <c r="T3" s="745"/>
      <c r="U3" s="745"/>
      <c r="V3" s="745"/>
      <c r="W3" s="745"/>
      <c r="X3" s="745"/>
      <c r="Y3" s="745"/>
      <c r="Z3" s="745"/>
      <c r="AA3" s="745"/>
      <c r="AB3" s="745"/>
      <c r="AC3" s="745"/>
      <c r="AD3" s="745"/>
      <c r="AE3" s="745"/>
      <c r="AF3" s="745"/>
      <c r="AG3" s="745"/>
      <c r="AH3" s="745"/>
      <c r="AI3" s="745"/>
      <c r="AJ3" s="745"/>
      <c r="AK3" s="745"/>
      <c r="AL3" s="745"/>
      <c r="AM3" s="745"/>
      <c r="AN3" s="745"/>
      <c r="AO3" s="745"/>
    </row>
    <row r="4" spans="1:41" s="752" customFormat="1" ht="15" customHeight="1" x14ac:dyDescent="0.3">
      <c r="A4" s="1"/>
      <c r="B4" s="1635" t="s">
        <v>1186</v>
      </c>
      <c r="C4" s="1"/>
      <c r="D4" s="535" t="s">
        <v>993</v>
      </c>
      <c r="E4" s="536"/>
      <c r="F4" s="536"/>
      <c r="G4" s="536"/>
      <c r="H4" s="536"/>
      <c r="I4" s="538"/>
      <c r="J4" s="1"/>
      <c r="K4" s="749"/>
      <c r="L4" s="749"/>
      <c r="M4" s="749"/>
      <c r="N4" s="749"/>
      <c r="O4" s="749"/>
      <c r="P4" s="749"/>
      <c r="Q4" s="1"/>
      <c r="R4" s="750" t="s">
        <v>1184</v>
      </c>
      <c r="S4" s="751"/>
      <c r="T4" s="751"/>
      <c r="U4" s="751"/>
      <c r="V4" s="1"/>
      <c r="W4" s="1"/>
      <c r="X4" s="1"/>
      <c r="Y4" s="1"/>
      <c r="Z4" s="1"/>
      <c r="AA4" s="1"/>
      <c r="AB4" s="1"/>
      <c r="AC4" s="1"/>
      <c r="AD4" s="1"/>
      <c r="AE4" s="1"/>
      <c r="AF4" s="1"/>
      <c r="AG4" s="1"/>
      <c r="AH4" s="1"/>
      <c r="AI4" s="1"/>
      <c r="AJ4" s="1"/>
      <c r="AK4" s="1"/>
      <c r="AL4" s="1"/>
      <c r="AM4" s="1"/>
      <c r="AN4" s="1"/>
      <c r="AO4" s="1"/>
    </row>
    <row r="5" spans="1:41" ht="15" customHeight="1" x14ac:dyDescent="0.3">
      <c r="A5" s="1"/>
      <c r="B5" s="1622"/>
      <c r="C5" s="1"/>
      <c r="D5" s="754"/>
      <c r="E5" s="755"/>
      <c r="F5" s="609"/>
      <c r="G5" s="755"/>
      <c r="H5" s="755"/>
      <c r="I5" s="756"/>
      <c r="J5" s="1"/>
      <c r="K5" s="1620" t="s">
        <v>1196</v>
      </c>
      <c r="L5" s="1620"/>
      <c r="M5" s="1620"/>
      <c r="N5" s="1620"/>
      <c r="O5" s="1620"/>
      <c r="P5" s="1620"/>
      <c r="Q5" s="1"/>
      <c r="R5" s="750" t="s">
        <v>1188</v>
      </c>
      <c r="S5" s="751"/>
      <c r="T5" s="751"/>
      <c r="U5" s="751"/>
      <c r="V5" s="1"/>
      <c r="W5" s="1"/>
      <c r="X5" s="1"/>
      <c r="Y5" s="1"/>
      <c r="Z5" s="1"/>
      <c r="AA5" s="1"/>
      <c r="AB5" s="1"/>
      <c r="AC5" s="1"/>
      <c r="AD5" s="1"/>
      <c r="AE5" s="1"/>
      <c r="AF5" s="1"/>
      <c r="AG5" s="1"/>
      <c r="AH5" s="1"/>
      <c r="AI5" s="1"/>
      <c r="AJ5" s="1"/>
      <c r="AK5" s="1"/>
      <c r="AL5" s="1"/>
      <c r="AM5" s="1"/>
      <c r="AN5" s="1"/>
      <c r="AO5" s="1"/>
    </row>
    <row r="6" spans="1:41" ht="15" customHeight="1" x14ac:dyDescent="0.3">
      <c r="A6" s="1"/>
      <c r="B6" s="1622"/>
      <c r="C6" s="1"/>
      <c r="D6" s="759"/>
      <c r="E6" s="344" t="s">
        <v>412</v>
      </c>
      <c r="F6" s="760">
        <f>Embodied_Carbon_Total_Proposed</f>
        <v>0</v>
      </c>
      <c r="G6" s="345" t="s">
        <v>413</v>
      </c>
      <c r="H6" s="1526"/>
      <c r="I6" s="761"/>
      <c r="J6" s="1"/>
      <c r="K6" s="1621"/>
      <c r="L6" s="1621"/>
      <c r="M6" s="1621"/>
      <c r="N6" s="1621"/>
      <c r="O6" s="1621"/>
      <c r="P6" s="1621"/>
      <c r="Q6" s="1"/>
      <c r="R6" s="751"/>
      <c r="S6" s="751"/>
      <c r="T6" s="751"/>
      <c r="U6" s="751"/>
      <c r="V6" s="1"/>
      <c r="W6" s="1"/>
      <c r="X6" s="1"/>
      <c r="Y6" s="1"/>
      <c r="Z6" s="1"/>
      <c r="AA6" s="1"/>
      <c r="AB6" s="1"/>
      <c r="AC6" s="1"/>
      <c r="AD6" s="1"/>
      <c r="AE6" s="1"/>
      <c r="AF6" s="1"/>
      <c r="AG6" s="1"/>
      <c r="AH6" s="1"/>
      <c r="AI6" s="1"/>
      <c r="AJ6" s="1"/>
      <c r="AK6" s="1"/>
      <c r="AL6" s="1"/>
      <c r="AM6" s="1"/>
      <c r="AN6" s="1"/>
      <c r="AO6" s="1"/>
    </row>
    <row r="7" spans="1:41" ht="15" customHeight="1" x14ac:dyDescent="0.3">
      <c r="A7" s="1"/>
      <c r="B7" s="1622"/>
      <c r="C7" s="1"/>
      <c r="D7" s="759"/>
      <c r="E7" s="344"/>
      <c r="F7" s="1530" t="s">
        <v>1193</v>
      </c>
      <c r="G7" s="345"/>
      <c r="H7" s="1526"/>
      <c r="I7" s="761"/>
      <c r="J7" s="1"/>
      <c r="K7" s="762"/>
      <c r="L7" s="751"/>
      <c r="M7" s="751"/>
      <c r="N7" s="751"/>
      <c r="O7" s="751"/>
      <c r="P7" s="751"/>
      <c r="Q7" s="1"/>
      <c r="R7" s="751"/>
      <c r="S7" s="751"/>
      <c r="T7" s="751"/>
      <c r="U7" s="751"/>
      <c r="V7" s="1"/>
      <c r="W7" s="1"/>
      <c r="X7" s="1"/>
      <c r="Y7" s="1"/>
      <c r="Z7" s="1"/>
      <c r="AA7" s="1"/>
      <c r="AB7" s="1"/>
      <c r="AC7" s="1"/>
      <c r="AD7" s="1"/>
      <c r="AE7" s="1"/>
      <c r="AF7" s="1"/>
      <c r="AG7" s="1"/>
      <c r="AH7" s="1"/>
      <c r="AI7" s="1"/>
      <c r="AJ7" s="1"/>
      <c r="AK7" s="1"/>
      <c r="AL7" s="1"/>
      <c r="AM7" s="1"/>
      <c r="AN7" s="1"/>
      <c r="AO7" s="1"/>
    </row>
    <row r="8" spans="1:41" ht="15" customHeight="1" x14ac:dyDescent="0.3">
      <c r="A8" s="1"/>
      <c r="B8" s="1622"/>
      <c r="C8" s="1"/>
      <c r="D8" s="759"/>
      <c r="E8" s="344" t="s">
        <v>1062</v>
      </c>
      <c r="F8" s="674">
        <f>Operational_Carbon_Annual_Total_Measured*10</f>
        <v>0</v>
      </c>
      <c r="G8" s="345" t="s">
        <v>413</v>
      </c>
      <c r="H8" s="1526"/>
      <c r="I8" s="761"/>
      <c r="J8" s="1"/>
      <c r="K8" s="762"/>
      <c r="L8" s="1633"/>
      <c r="M8" s="1633"/>
      <c r="N8" s="751"/>
      <c r="O8" s="751"/>
      <c r="P8" s="751"/>
      <c r="Q8" s="1"/>
      <c r="R8" s="751"/>
      <c r="S8" s="751"/>
      <c r="T8" s="751"/>
      <c r="U8" s="751"/>
      <c r="V8" s="1"/>
      <c r="W8" s="1"/>
      <c r="X8" s="1"/>
      <c r="Y8" s="1"/>
      <c r="Z8" s="1"/>
      <c r="AA8" s="1"/>
      <c r="AB8" s="1"/>
      <c r="AC8" s="1"/>
      <c r="AD8" s="1"/>
      <c r="AE8" s="1"/>
      <c r="AF8" s="1"/>
      <c r="AG8" s="1"/>
      <c r="AH8" s="1"/>
      <c r="AI8" s="1"/>
      <c r="AJ8" s="1"/>
      <c r="AK8" s="1"/>
      <c r="AL8" s="1"/>
      <c r="AM8" s="1"/>
      <c r="AN8" s="1"/>
      <c r="AO8" s="1"/>
    </row>
    <row r="9" spans="1:41" ht="15" customHeight="1" x14ac:dyDescent="0.3">
      <c r="A9" s="1"/>
      <c r="B9" s="1622"/>
      <c r="C9" s="1"/>
      <c r="D9" s="759"/>
      <c r="E9" s="344"/>
      <c r="F9" s="1529" t="s">
        <v>1194</v>
      </c>
      <c r="G9" s="345"/>
      <c r="H9" s="1526"/>
      <c r="I9" s="761"/>
      <c r="J9" s="1"/>
      <c r="K9" s="762"/>
      <c r="L9" s="751"/>
      <c r="M9" s="751"/>
      <c r="N9" s="751"/>
      <c r="O9" s="751"/>
      <c r="P9" s="751"/>
      <c r="Q9" s="1"/>
      <c r="R9" s="751"/>
      <c r="S9" s="751"/>
      <c r="T9" s="751"/>
      <c r="U9" s="751"/>
      <c r="V9" s="1"/>
      <c r="W9" s="1"/>
      <c r="X9" s="1"/>
      <c r="Y9" s="1"/>
      <c r="Z9" s="1"/>
      <c r="AA9" s="1"/>
      <c r="AB9" s="1"/>
      <c r="AC9" s="1"/>
      <c r="AD9" s="1"/>
      <c r="AE9" s="1"/>
      <c r="AF9" s="1"/>
      <c r="AG9" s="1"/>
      <c r="AH9" s="1"/>
      <c r="AI9" s="1"/>
      <c r="AJ9" s="1"/>
      <c r="AK9" s="1"/>
      <c r="AL9" s="1"/>
      <c r="AM9" s="1"/>
      <c r="AN9" s="1"/>
      <c r="AO9" s="1"/>
    </row>
    <row r="10" spans="1:41" ht="15" customHeight="1" x14ac:dyDescent="0.3">
      <c r="A10" s="1"/>
      <c r="B10" s="1622"/>
      <c r="C10" s="1"/>
      <c r="D10" s="759"/>
      <c r="E10" s="344" t="s">
        <v>1185</v>
      </c>
      <c r="F10" s="763">
        <v>190</v>
      </c>
      <c r="G10" s="345" t="s">
        <v>1262</v>
      </c>
      <c r="H10" s="764"/>
      <c r="I10" s="761"/>
      <c r="J10" s="1"/>
      <c r="K10" s="762"/>
      <c r="L10" s="751"/>
      <c r="M10" s="751"/>
      <c r="N10" s="751"/>
      <c r="O10" s="751"/>
      <c r="P10" s="751"/>
      <c r="Q10" s="1"/>
      <c r="R10" s="751"/>
      <c r="S10" s="751"/>
      <c r="T10" s="751"/>
      <c r="U10" s="751"/>
      <c r="V10" s="1"/>
      <c r="W10" s="1"/>
      <c r="X10" s="1"/>
      <c r="Y10" s="1"/>
      <c r="Z10" s="1"/>
      <c r="AA10" s="1"/>
      <c r="AB10" s="1"/>
      <c r="AC10" s="1"/>
      <c r="AD10" s="1"/>
      <c r="AE10" s="1"/>
      <c r="AF10" s="1"/>
      <c r="AG10" s="1"/>
      <c r="AH10" s="1"/>
      <c r="AI10" s="1"/>
      <c r="AJ10" s="1"/>
      <c r="AK10" s="1"/>
      <c r="AL10" s="1"/>
      <c r="AM10" s="1"/>
      <c r="AN10" s="1"/>
      <c r="AO10" s="1"/>
    </row>
    <row r="11" spans="1:41" ht="15" customHeight="1" x14ac:dyDescent="0.3">
      <c r="A11" s="1"/>
      <c r="B11" s="1622"/>
      <c r="C11" s="1"/>
      <c r="D11" s="759"/>
      <c r="E11" s="344"/>
      <c r="F11" s="466">
        <f>F10/1000</f>
        <v>0.19</v>
      </c>
      <c r="G11" s="345" t="s">
        <v>1246</v>
      </c>
      <c r="H11" s="764"/>
      <c r="I11" s="761"/>
      <c r="J11" s="1"/>
      <c r="K11" s="762"/>
      <c r="L11" s="751"/>
      <c r="M11" s="751"/>
      <c r="N11" s="751"/>
      <c r="O11" s="751"/>
      <c r="P11" s="751"/>
      <c r="Q11" s="1"/>
      <c r="R11" s="751"/>
      <c r="S11" s="751"/>
      <c r="T11" s="751"/>
      <c r="U11" s="751"/>
      <c r="V11" s="1"/>
      <c r="W11" s="1"/>
      <c r="X11" s="1"/>
      <c r="Y11" s="1"/>
      <c r="Z11" s="1"/>
      <c r="AA11" s="1"/>
      <c r="AB11" s="1"/>
      <c r="AC11" s="1"/>
      <c r="AD11" s="1"/>
      <c r="AE11" s="1"/>
      <c r="AF11" s="1"/>
      <c r="AG11" s="1"/>
      <c r="AH11" s="1"/>
      <c r="AI11" s="1"/>
      <c r="AJ11" s="1"/>
      <c r="AK11" s="1"/>
      <c r="AL11" s="1"/>
      <c r="AM11" s="1"/>
      <c r="AN11" s="1"/>
      <c r="AO11" s="1"/>
    </row>
    <row r="12" spans="1:41" ht="15" customHeight="1" thickBot="1" x14ac:dyDescent="0.35">
      <c r="A12" s="1"/>
      <c r="B12" s="1622"/>
      <c r="C12" s="1"/>
      <c r="D12" s="759"/>
      <c r="E12" s="344"/>
      <c r="F12" s="763"/>
      <c r="G12" s="345"/>
      <c r="H12" s="764"/>
      <c r="I12" s="761"/>
      <c r="J12" s="1"/>
      <c r="K12" s="762"/>
      <c r="L12" s="751"/>
      <c r="M12" s="751"/>
      <c r="N12" s="751"/>
      <c r="O12" s="751"/>
      <c r="P12" s="751"/>
      <c r="Q12" s="1"/>
      <c r="R12" s="751"/>
      <c r="S12" s="751"/>
      <c r="T12" s="751"/>
      <c r="U12" s="751"/>
      <c r="V12" s="1"/>
      <c r="W12" s="1"/>
      <c r="X12" s="1"/>
      <c r="Y12" s="1"/>
      <c r="Z12" s="1"/>
      <c r="AA12" s="1"/>
      <c r="AB12" s="1"/>
      <c r="AC12" s="1"/>
      <c r="AD12" s="1"/>
      <c r="AE12" s="1"/>
      <c r="AF12" s="1"/>
      <c r="AG12" s="1"/>
      <c r="AH12" s="1"/>
      <c r="AI12" s="1"/>
      <c r="AJ12" s="1"/>
      <c r="AK12" s="1"/>
      <c r="AL12" s="1"/>
      <c r="AM12" s="1"/>
      <c r="AN12" s="1"/>
      <c r="AO12" s="1"/>
    </row>
    <row r="13" spans="1:41" ht="15" customHeight="1" thickBot="1" x14ac:dyDescent="0.45">
      <c r="A13" s="1"/>
      <c r="B13" s="1622"/>
      <c r="C13" s="1"/>
      <c r="D13" s="759"/>
      <c r="E13" s="766" t="s">
        <v>1245</v>
      </c>
      <c r="F13" s="1518">
        <f>F11*((Embodied_Carbon_Total_Proposed+(Operational_Carbon_Annual_Total_Measured*10)))</f>
        <v>0</v>
      </c>
      <c r="G13" s="577" t="s">
        <v>1246</v>
      </c>
      <c r="H13" s="765"/>
      <c r="I13" s="761"/>
      <c r="J13" s="1"/>
      <c r="K13" s="762"/>
      <c r="L13" s="1633"/>
      <c r="M13" s="1633"/>
      <c r="N13" s="751"/>
      <c r="O13" s="751"/>
      <c r="P13" s="751"/>
      <c r="Q13" s="1"/>
      <c r="R13" s="751"/>
      <c r="S13" s="751"/>
      <c r="T13" s="751"/>
      <c r="U13" s="751"/>
      <c r="V13" s="1"/>
      <c r="W13" s="1"/>
      <c r="X13" s="1"/>
      <c r="Y13" s="1"/>
      <c r="Z13" s="1"/>
      <c r="AA13" s="1"/>
      <c r="AB13" s="1"/>
      <c r="AC13" s="1"/>
      <c r="AD13" s="1"/>
      <c r="AE13" s="1"/>
      <c r="AF13" s="1"/>
      <c r="AG13" s="1"/>
      <c r="AH13" s="1"/>
      <c r="AI13" s="1"/>
      <c r="AJ13" s="1"/>
      <c r="AK13" s="1"/>
      <c r="AL13" s="1"/>
      <c r="AM13" s="1"/>
      <c r="AN13" s="1"/>
      <c r="AO13" s="1"/>
    </row>
    <row r="14" spans="1:41" ht="15" customHeight="1" x14ac:dyDescent="0.3">
      <c r="A14" s="1"/>
      <c r="B14" s="1622"/>
      <c r="C14" s="1"/>
      <c r="D14" s="759"/>
      <c r="E14" s="766" t="s">
        <v>1071</v>
      </c>
      <c r="F14" s="1569">
        <f>IFERROR(F13/Area_Building,0)</f>
        <v>0</v>
      </c>
      <c r="G14" s="577" t="s">
        <v>1247</v>
      </c>
      <c r="H14" s="765"/>
      <c r="I14" s="761"/>
      <c r="J14" s="1"/>
      <c r="K14" s="762"/>
      <c r="L14" s="751"/>
      <c r="M14" s="751"/>
      <c r="N14" s="751"/>
      <c r="O14" s="751"/>
      <c r="P14" s="751"/>
      <c r="Q14" s="1"/>
      <c r="R14" s="751"/>
      <c r="S14" s="751"/>
      <c r="T14" s="751"/>
      <c r="U14" s="751"/>
      <c r="V14" s="1"/>
      <c r="W14" s="1"/>
      <c r="X14" s="1"/>
      <c r="Y14" s="1"/>
      <c r="Z14" s="1"/>
      <c r="AA14" s="1"/>
      <c r="AB14" s="1"/>
      <c r="AC14" s="1"/>
      <c r="AD14" s="1"/>
      <c r="AE14" s="1"/>
      <c r="AF14" s="1"/>
      <c r="AG14" s="1"/>
      <c r="AH14" s="1"/>
      <c r="AI14" s="1"/>
      <c r="AJ14" s="1"/>
      <c r="AK14" s="1"/>
      <c r="AL14" s="1"/>
      <c r="AM14" s="1"/>
      <c r="AN14" s="1"/>
      <c r="AO14" s="1"/>
    </row>
    <row r="15" spans="1:41" ht="15" customHeight="1" x14ac:dyDescent="0.3">
      <c r="A15" s="1"/>
      <c r="B15" s="1622"/>
      <c r="C15" s="1"/>
      <c r="D15" s="767"/>
      <c r="E15" s="768"/>
      <c r="F15" s="677"/>
      <c r="G15" s="768"/>
      <c r="H15" s="768"/>
      <c r="I15" s="769"/>
      <c r="J15" s="1"/>
      <c r="K15" s="762"/>
      <c r="L15" s="1633"/>
      <c r="M15" s="1633"/>
      <c r="N15" s="751"/>
      <c r="O15" s="751"/>
      <c r="P15" s="751"/>
      <c r="Q15" s="1"/>
      <c r="R15" s="751"/>
      <c r="S15" s="751"/>
      <c r="T15" s="751"/>
      <c r="U15" s="751"/>
      <c r="V15" s="1"/>
      <c r="W15" s="1"/>
      <c r="X15" s="1"/>
      <c r="Y15" s="1"/>
      <c r="Z15" s="1"/>
      <c r="AA15" s="1"/>
      <c r="AB15" s="1"/>
      <c r="AC15" s="1"/>
      <c r="AD15" s="1"/>
      <c r="AE15" s="1"/>
      <c r="AF15" s="1"/>
      <c r="AG15" s="1"/>
      <c r="AH15" s="1"/>
      <c r="AI15" s="1"/>
      <c r="AJ15" s="1"/>
      <c r="AK15" s="1"/>
      <c r="AL15" s="1"/>
      <c r="AM15" s="1"/>
      <c r="AN15" s="1"/>
      <c r="AO15" s="1"/>
    </row>
    <row r="16" spans="1:41" ht="15" customHeight="1" x14ac:dyDescent="0.3">
      <c r="A16" s="1"/>
      <c r="B16" s="1"/>
      <c r="C16" s="1"/>
      <c r="D16" s="1"/>
      <c r="E16" s="1"/>
      <c r="F16" s="744"/>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row>
    <row r="17" spans="1:41" ht="15" customHeight="1" x14ac:dyDescent="0.3">
      <c r="A17" s="1"/>
      <c r="B17" s="1622" t="s">
        <v>965</v>
      </c>
      <c r="C17" s="1"/>
      <c r="D17" s="770" t="s">
        <v>992</v>
      </c>
      <c r="E17" s="741"/>
      <c r="F17" s="741"/>
      <c r="G17" s="741"/>
      <c r="H17" s="741"/>
      <c r="I17" s="742"/>
      <c r="J17" s="1"/>
      <c r="K17" s="749" t="s">
        <v>120</v>
      </c>
      <c r="L17" s="749" t="s">
        <v>121</v>
      </c>
      <c r="M17" s="749"/>
      <c r="N17" s="749" t="s">
        <v>122</v>
      </c>
      <c r="O17" s="749" t="s">
        <v>120</v>
      </c>
      <c r="P17" s="749" t="s">
        <v>123</v>
      </c>
      <c r="Q17" s="1"/>
      <c r="R17" s="750" t="str">
        <f>HYPERLINK("https://www.walkscore.com/methodology.shtml","Walk Score Methodology")</f>
        <v>Walk Score Methodology</v>
      </c>
      <c r="S17" s="751"/>
      <c r="T17" s="751"/>
      <c r="U17" s="751"/>
      <c r="V17" s="1"/>
      <c r="W17" s="1"/>
      <c r="X17" s="1"/>
      <c r="Y17" s="1"/>
      <c r="Z17" s="1"/>
      <c r="AA17" s="1"/>
      <c r="AB17" s="1"/>
      <c r="AC17" s="1"/>
      <c r="AD17" s="1"/>
      <c r="AE17" s="1"/>
      <c r="AF17" s="1"/>
      <c r="AG17" s="1"/>
      <c r="AH17" s="1"/>
      <c r="AI17" s="1"/>
      <c r="AJ17" s="1"/>
      <c r="AK17" s="1"/>
      <c r="AL17" s="1"/>
      <c r="AM17" s="1"/>
      <c r="AN17" s="1"/>
      <c r="AO17" s="1"/>
    </row>
    <row r="18" spans="1:41" ht="15" customHeight="1" x14ac:dyDescent="0.3">
      <c r="A18" s="1"/>
      <c r="B18" s="1622"/>
      <c r="C18" s="1"/>
      <c r="D18" s="771"/>
      <c r="E18" s="772"/>
      <c r="F18" s="773"/>
      <c r="G18" s="772"/>
      <c r="H18" s="772"/>
      <c r="I18" s="774"/>
      <c r="J18" s="1"/>
      <c r="K18" s="757" t="s">
        <v>958</v>
      </c>
      <c r="L18" s="1634" t="s">
        <v>124</v>
      </c>
      <c r="M18" s="1634"/>
      <c r="N18" s="758" t="s">
        <v>125</v>
      </c>
      <c r="O18" s="758" t="s">
        <v>959</v>
      </c>
      <c r="P18" s="758" t="s">
        <v>126</v>
      </c>
      <c r="Q18" s="1"/>
      <c r="R18" s="751"/>
      <c r="S18" s="751"/>
      <c r="T18" s="751"/>
      <c r="U18" s="751"/>
      <c r="V18" s="1"/>
      <c r="W18" s="1"/>
      <c r="X18" s="1"/>
      <c r="Y18" s="1"/>
      <c r="Z18" s="1"/>
      <c r="AA18" s="1"/>
      <c r="AB18" s="1"/>
      <c r="AC18" s="1"/>
      <c r="AD18" s="1"/>
      <c r="AE18" s="1"/>
      <c r="AF18" s="1"/>
      <c r="AG18" s="1"/>
      <c r="AH18" s="1"/>
      <c r="AI18" s="1"/>
      <c r="AJ18" s="1"/>
      <c r="AK18" s="1"/>
      <c r="AL18" s="1"/>
      <c r="AM18" s="1"/>
      <c r="AN18" s="1"/>
      <c r="AO18" s="1"/>
    </row>
    <row r="19" spans="1:41" ht="15" customHeight="1" x14ac:dyDescent="0.3">
      <c r="A19" s="1"/>
      <c r="B19" s="1622"/>
      <c r="C19" s="1"/>
      <c r="D19" s="775"/>
      <c r="E19" s="776" t="s">
        <v>121</v>
      </c>
      <c r="F19" s="347"/>
      <c r="G19" s="777"/>
      <c r="H19" s="777"/>
      <c r="I19" s="778"/>
      <c r="J19" s="1"/>
      <c r="K19" s="762" t="s">
        <v>960</v>
      </c>
      <c r="L19" s="1633" t="s">
        <v>127</v>
      </c>
      <c r="M19" s="1633"/>
      <c r="N19" s="751" t="s">
        <v>128</v>
      </c>
      <c r="O19" s="751" t="s">
        <v>961</v>
      </c>
      <c r="P19" s="751" t="s">
        <v>129</v>
      </c>
      <c r="Q19" s="1"/>
      <c r="R19" s="751"/>
      <c r="S19" s="751"/>
      <c r="T19" s="751"/>
      <c r="U19" s="751"/>
      <c r="V19" s="1"/>
      <c r="W19" s="1"/>
      <c r="X19" s="1"/>
      <c r="Y19" s="1"/>
      <c r="Z19" s="1"/>
      <c r="AA19" s="1"/>
      <c r="AB19" s="1"/>
      <c r="AC19" s="1"/>
      <c r="AD19" s="1"/>
      <c r="AE19" s="1"/>
      <c r="AF19" s="1"/>
      <c r="AG19" s="1"/>
      <c r="AH19" s="1"/>
      <c r="AI19" s="1"/>
      <c r="AJ19" s="1"/>
      <c r="AK19" s="1"/>
      <c r="AL19" s="1"/>
      <c r="AM19" s="1"/>
      <c r="AN19" s="1"/>
      <c r="AO19" s="1"/>
    </row>
    <row r="20" spans="1:41" ht="15" customHeight="1" x14ac:dyDescent="0.3">
      <c r="A20" s="1"/>
      <c r="B20" s="1622"/>
      <c r="C20" s="1"/>
      <c r="D20" s="775"/>
      <c r="E20" s="776" t="s">
        <v>122</v>
      </c>
      <c r="F20" s="347"/>
      <c r="G20" s="777"/>
      <c r="H20" s="777"/>
      <c r="I20" s="778"/>
      <c r="J20" s="1"/>
      <c r="K20" s="762" t="s">
        <v>962</v>
      </c>
      <c r="L20" s="1633" t="s">
        <v>130</v>
      </c>
      <c r="M20" s="1633"/>
      <c r="N20" s="751" t="s">
        <v>131</v>
      </c>
      <c r="O20" s="751" t="s">
        <v>963</v>
      </c>
      <c r="P20" s="751" t="s">
        <v>132</v>
      </c>
      <c r="Q20" s="1"/>
      <c r="R20" s="751"/>
      <c r="S20" s="751"/>
      <c r="T20" s="751"/>
      <c r="U20" s="751"/>
      <c r="V20" s="1"/>
      <c r="W20" s="1"/>
      <c r="X20" s="1"/>
      <c r="Y20" s="1"/>
      <c r="Z20" s="1"/>
      <c r="AA20" s="1"/>
      <c r="AB20" s="1"/>
      <c r="AC20" s="1"/>
      <c r="AD20" s="1"/>
      <c r="AE20" s="1"/>
      <c r="AF20" s="1"/>
      <c r="AG20" s="1"/>
      <c r="AH20" s="1"/>
      <c r="AI20" s="1"/>
      <c r="AJ20" s="1"/>
      <c r="AK20" s="1"/>
      <c r="AL20" s="1"/>
      <c r="AM20" s="1"/>
      <c r="AN20" s="1"/>
      <c r="AO20" s="1"/>
    </row>
    <row r="21" spans="1:41" ht="15" customHeight="1" x14ac:dyDescent="0.3">
      <c r="A21" s="1"/>
      <c r="B21" s="1622"/>
      <c r="C21" s="1"/>
      <c r="D21" s="775"/>
      <c r="E21" s="776" t="s">
        <v>123</v>
      </c>
      <c r="F21" s="347"/>
      <c r="G21" s="777"/>
      <c r="H21" s="777"/>
      <c r="I21" s="778"/>
      <c r="J21" s="1"/>
      <c r="K21" s="762" t="s">
        <v>963</v>
      </c>
      <c r="L21" s="1633" t="s">
        <v>133</v>
      </c>
      <c r="M21" s="1633"/>
      <c r="N21" s="751" t="s">
        <v>134</v>
      </c>
      <c r="O21" s="751" t="s">
        <v>964</v>
      </c>
      <c r="P21" s="751" t="s">
        <v>135</v>
      </c>
      <c r="Q21" s="1"/>
      <c r="R21" s="751"/>
      <c r="S21" s="751"/>
      <c r="T21" s="751"/>
      <c r="U21" s="751"/>
      <c r="V21" s="1"/>
      <c r="W21" s="1"/>
      <c r="X21" s="1"/>
      <c r="Y21" s="1"/>
      <c r="Z21" s="1"/>
      <c r="AA21" s="1"/>
      <c r="AB21" s="1"/>
      <c r="AC21" s="1"/>
      <c r="AD21" s="1"/>
      <c r="AE21" s="1"/>
      <c r="AF21" s="1"/>
      <c r="AG21" s="1"/>
      <c r="AH21" s="1"/>
      <c r="AI21" s="1"/>
      <c r="AJ21" s="1"/>
      <c r="AK21" s="1"/>
      <c r="AL21" s="1"/>
      <c r="AM21" s="1"/>
      <c r="AN21" s="1"/>
      <c r="AO21" s="1"/>
    </row>
    <row r="22" spans="1:41" ht="15" customHeight="1" x14ac:dyDescent="0.3">
      <c r="A22" s="1"/>
      <c r="B22" s="1622"/>
      <c r="C22" s="1"/>
      <c r="D22" s="779"/>
      <c r="E22" s="780"/>
      <c r="F22" s="781"/>
      <c r="G22" s="782"/>
      <c r="H22" s="782"/>
      <c r="I22" s="783"/>
      <c r="J22" s="1"/>
      <c r="K22" s="762" t="s">
        <v>964</v>
      </c>
      <c r="L22" s="1633" t="s">
        <v>136</v>
      </c>
      <c r="M22" s="1633"/>
      <c r="N22" s="751" t="s">
        <v>137</v>
      </c>
      <c r="O22" s="751"/>
      <c r="P22" s="751"/>
      <c r="Q22" s="1"/>
      <c r="R22" s="751"/>
      <c r="S22" s="751"/>
      <c r="T22" s="751"/>
      <c r="U22" s="751"/>
      <c r="V22" s="1"/>
      <c r="W22" s="1"/>
      <c r="X22" s="1"/>
      <c r="Y22" s="1"/>
      <c r="Z22" s="1"/>
      <c r="AA22" s="1"/>
      <c r="AB22" s="1"/>
      <c r="AC22" s="1"/>
      <c r="AD22" s="1"/>
      <c r="AE22" s="1"/>
      <c r="AF22" s="1"/>
      <c r="AG22" s="1"/>
      <c r="AH22" s="1"/>
      <c r="AI22" s="1"/>
      <c r="AJ22" s="1"/>
      <c r="AK22" s="1"/>
      <c r="AL22" s="1"/>
      <c r="AM22" s="1"/>
      <c r="AN22" s="1"/>
      <c r="AO22" s="1"/>
    </row>
    <row r="23" spans="1:41" ht="15" customHeight="1" x14ac:dyDescent="0.3">
      <c r="A23" s="1"/>
      <c r="B23" s="1"/>
      <c r="C23" s="1"/>
      <c r="D23" s="1"/>
      <c r="E23" s="1"/>
      <c r="F23" s="744"/>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row>
    <row r="24" spans="1:41" ht="15" customHeight="1" x14ac:dyDescent="0.4">
      <c r="A24" s="1"/>
      <c r="B24" s="1622" t="s">
        <v>142</v>
      </c>
      <c r="C24" s="1"/>
      <c r="D24" s="770" t="s">
        <v>691</v>
      </c>
      <c r="E24" s="741"/>
      <c r="F24" s="741"/>
      <c r="G24" s="741"/>
      <c r="H24" s="741"/>
      <c r="I24" s="742"/>
      <c r="J24" s="1"/>
      <c r="K24" s="784" t="s">
        <v>143</v>
      </c>
      <c r="L24" s="784"/>
      <c r="M24" s="784"/>
      <c r="N24" s="784"/>
      <c r="O24" s="784"/>
      <c r="P24" s="784"/>
      <c r="Q24" s="1"/>
      <c r="R24" s="785" t="s">
        <v>144</v>
      </c>
      <c r="S24" s="785"/>
      <c r="T24" s="785" t="s">
        <v>145</v>
      </c>
      <c r="U24" s="785" t="s">
        <v>146</v>
      </c>
      <c r="V24" s="1"/>
      <c r="W24" s="1"/>
      <c r="X24" s="1"/>
      <c r="Y24" s="1"/>
      <c r="Z24" s="1"/>
      <c r="AA24" s="1"/>
      <c r="AB24" s="1"/>
      <c r="AC24" s="1"/>
      <c r="AD24" s="1"/>
      <c r="AE24" s="1"/>
      <c r="AF24" s="1"/>
      <c r="AG24" s="1"/>
      <c r="AH24" s="1"/>
      <c r="AI24" s="1"/>
      <c r="AJ24" s="1"/>
      <c r="AK24" s="1"/>
      <c r="AL24" s="1"/>
      <c r="AM24" s="1"/>
      <c r="AN24" s="1"/>
      <c r="AO24" s="1"/>
    </row>
    <row r="25" spans="1:41" ht="15" customHeight="1" x14ac:dyDescent="0.3">
      <c r="A25" s="1"/>
      <c r="B25" s="1623"/>
      <c r="C25" s="1"/>
      <c r="D25" s="771"/>
      <c r="E25" s="772"/>
      <c r="F25" s="773"/>
      <c r="G25" s="772"/>
      <c r="H25" s="772"/>
      <c r="I25" s="774"/>
      <c r="J25" s="1"/>
      <c r="K25" s="751"/>
      <c r="L25" s="751"/>
      <c r="M25" s="751"/>
      <c r="N25" s="751"/>
      <c r="O25" s="751"/>
      <c r="P25" s="751"/>
      <c r="Q25" s="1"/>
      <c r="R25" s="751" t="s">
        <v>147</v>
      </c>
      <c r="S25" s="751">
        <v>24.9</v>
      </c>
      <c r="T25" s="751" t="s">
        <v>148</v>
      </c>
      <c r="U25" s="750" t="s">
        <v>149</v>
      </c>
      <c r="V25" s="1"/>
      <c r="W25" s="1"/>
      <c r="X25" s="1"/>
      <c r="Y25" s="1"/>
      <c r="Z25" s="1"/>
      <c r="AA25" s="1"/>
      <c r="AB25" s="1"/>
      <c r="AC25" s="1"/>
      <c r="AD25" s="1"/>
      <c r="AE25" s="1"/>
      <c r="AF25" s="1"/>
      <c r="AG25" s="1"/>
      <c r="AH25" s="1"/>
      <c r="AI25" s="1"/>
      <c r="AJ25" s="1"/>
      <c r="AK25" s="1"/>
      <c r="AL25" s="1"/>
      <c r="AM25" s="1"/>
      <c r="AN25" s="1"/>
      <c r="AO25" s="1"/>
    </row>
    <row r="26" spans="1:41" ht="15" customHeight="1" x14ac:dyDescent="0.4">
      <c r="A26" s="1"/>
      <c r="B26" s="1623"/>
      <c r="C26" s="1"/>
      <c r="D26" s="786"/>
      <c r="E26" s="787"/>
      <c r="F26" s="788" t="s">
        <v>150</v>
      </c>
      <c r="G26" s="788" t="s">
        <v>141</v>
      </c>
      <c r="H26" s="787" t="s">
        <v>145</v>
      </c>
      <c r="I26" s="778"/>
      <c r="J26" s="1"/>
      <c r="K26" s="751" t="s">
        <v>151</v>
      </c>
      <c r="L26" s="751" t="s">
        <v>141</v>
      </c>
      <c r="M26" s="751"/>
      <c r="N26" s="751"/>
      <c r="O26" s="751"/>
      <c r="P26" s="751"/>
      <c r="Q26" s="1"/>
      <c r="R26" s="751" t="s">
        <v>152</v>
      </c>
      <c r="S26" s="789">
        <v>8.8870000000000005</v>
      </c>
      <c r="T26" s="751" t="s">
        <v>153</v>
      </c>
      <c r="U26" s="750" t="s">
        <v>154</v>
      </c>
      <c r="V26" s="1"/>
      <c r="W26" s="1"/>
      <c r="X26" s="1"/>
      <c r="Y26" s="1"/>
      <c r="Z26" s="1"/>
      <c r="AA26" s="1"/>
      <c r="AB26" s="1"/>
      <c r="AC26" s="1"/>
      <c r="AD26" s="1"/>
      <c r="AE26" s="1"/>
      <c r="AF26" s="1"/>
      <c r="AG26" s="1"/>
      <c r="AH26" s="1"/>
      <c r="AI26" s="1"/>
      <c r="AJ26" s="1"/>
      <c r="AK26" s="1"/>
      <c r="AL26" s="1"/>
      <c r="AM26" s="1"/>
      <c r="AN26" s="1"/>
      <c r="AO26" s="1"/>
    </row>
    <row r="27" spans="1:41" ht="15" customHeight="1" x14ac:dyDescent="0.3">
      <c r="A27" s="1"/>
      <c r="B27" s="1623"/>
      <c r="C27" s="1"/>
      <c r="D27" s="775"/>
      <c r="E27" s="776" t="s">
        <v>155</v>
      </c>
      <c r="F27" s="1390">
        <f>Occupancy_Daily_Avg</f>
        <v>0</v>
      </c>
      <c r="G27" s="790"/>
      <c r="H27" s="777"/>
      <c r="I27" s="778"/>
      <c r="J27" s="1"/>
      <c r="K27" s="751" t="s">
        <v>156</v>
      </c>
      <c r="L27" s="751" t="s">
        <v>157</v>
      </c>
      <c r="M27" s="751"/>
      <c r="N27" s="751"/>
      <c r="O27" s="751"/>
      <c r="P27" s="751"/>
      <c r="Q27" s="1"/>
      <c r="R27" s="751" t="s">
        <v>158</v>
      </c>
      <c r="S27" s="751">
        <v>12.7</v>
      </c>
      <c r="T27" s="751" t="s">
        <v>159</v>
      </c>
      <c r="U27" s="750" t="s">
        <v>160</v>
      </c>
      <c r="V27" s="1"/>
      <c r="W27" s="1"/>
      <c r="X27" s="1"/>
      <c r="Y27" s="1"/>
      <c r="Z27" s="1"/>
      <c r="AA27" s="1"/>
      <c r="AB27" s="1"/>
      <c r="AC27" s="1"/>
      <c r="AD27" s="1"/>
      <c r="AE27" s="1"/>
      <c r="AF27" s="1"/>
      <c r="AG27" s="1"/>
      <c r="AH27" s="1"/>
      <c r="AI27" s="1"/>
      <c r="AJ27" s="1"/>
      <c r="AK27" s="1"/>
      <c r="AL27" s="1"/>
      <c r="AM27" s="1"/>
      <c r="AN27" s="1"/>
      <c r="AO27" s="1"/>
    </row>
    <row r="28" spans="1:41" ht="15" customHeight="1" x14ac:dyDescent="0.3">
      <c r="A28" s="1"/>
      <c r="B28" s="1623"/>
      <c r="C28" s="1"/>
      <c r="D28" s="775"/>
      <c r="E28" s="776" t="s">
        <v>161</v>
      </c>
      <c r="F28" s="347"/>
      <c r="G28" s="790"/>
      <c r="H28" s="777"/>
      <c r="I28" s="778"/>
      <c r="J28" s="1"/>
      <c r="K28" s="751" t="s">
        <v>162</v>
      </c>
      <c r="L28" s="751" t="s">
        <v>163</v>
      </c>
      <c r="M28" s="751"/>
      <c r="N28" s="751"/>
      <c r="O28" s="751"/>
      <c r="P28" s="751"/>
      <c r="Q28" s="1"/>
      <c r="R28" s="751"/>
      <c r="S28" s="751"/>
      <c r="T28" s="751"/>
      <c r="U28" s="751" t="s">
        <v>164</v>
      </c>
      <c r="V28" s="1"/>
      <c r="W28" s="1"/>
      <c r="X28" s="1"/>
      <c r="Y28" s="1"/>
      <c r="Z28" s="1"/>
      <c r="AA28" s="1"/>
      <c r="AB28" s="1"/>
      <c r="AC28" s="1"/>
      <c r="AD28" s="1"/>
      <c r="AE28" s="1"/>
      <c r="AF28" s="1"/>
      <c r="AG28" s="1"/>
      <c r="AH28" s="1"/>
      <c r="AI28" s="1"/>
      <c r="AJ28" s="1"/>
      <c r="AK28" s="1"/>
      <c r="AL28" s="1"/>
      <c r="AM28" s="1"/>
      <c r="AN28" s="1"/>
      <c r="AO28" s="1"/>
    </row>
    <row r="29" spans="1:41" ht="15" customHeight="1" x14ac:dyDescent="0.3">
      <c r="A29" s="1"/>
      <c r="B29" s="1623"/>
      <c r="C29" s="1"/>
      <c r="D29" s="775"/>
      <c r="E29" s="776" t="s">
        <v>165</v>
      </c>
      <c r="F29" s="791" t="str">
        <f>IFERROR(28:28/Occupancy_Daily_Avg,"")</f>
        <v/>
      </c>
      <c r="G29" s="791">
        <f>Single_Occupancy_Commute_Share_Benchmark</f>
        <v>0.76300000000000001</v>
      </c>
      <c r="H29" s="777" t="s">
        <v>166</v>
      </c>
      <c r="I29" s="778"/>
      <c r="J29" s="1"/>
      <c r="K29" s="751" t="s">
        <v>167</v>
      </c>
      <c r="L29" s="751" t="s">
        <v>168</v>
      </c>
      <c r="M29" s="751"/>
      <c r="N29" s="751"/>
      <c r="O29" s="751"/>
      <c r="P29" s="751"/>
      <c r="Q29" s="1"/>
      <c r="R29" s="751" t="s">
        <v>169</v>
      </c>
      <c r="S29" s="792">
        <v>0.76300000000000001</v>
      </c>
      <c r="T29" s="751"/>
      <c r="U29" s="750" t="s">
        <v>170</v>
      </c>
      <c r="V29" s="1"/>
      <c r="W29" s="1"/>
      <c r="X29" s="1"/>
      <c r="Y29" s="1"/>
      <c r="Z29" s="1"/>
      <c r="AA29" s="1"/>
      <c r="AB29" s="1"/>
      <c r="AC29" s="1"/>
      <c r="AD29" s="1"/>
      <c r="AE29" s="1"/>
      <c r="AF29" s="1"/>
      <c r="AG29" s="1"/>
      <c r="AH29" s="1"/>
      <c r="AI29" s="1"/>
      <c r="AJ29" s="1"/>
      <c r="AK29" s="1"/>
      <c r="AL29" s="1"/>
      <c r="AM29" s="1"/>
      <c r="AN29" s="1"/>
      <c r="AO29" s="1"/>
    </row>
    <row r="30" spans="1:41" ht="15" customHeight="1" x14ac:dyDescent="0.3">
      <c r="A30" s="1"/>
      <c r="B30" s="1623"/>
      <c r="C30" s="1"/>
      <c r="D30" s="775"/>
      <c r="E30" s="776" t="s">
        <v>171</v>
      </c>
      <c r="F30" s="470"/>
      <c r="G30" s="793">
        <f>2*One_Way_Commute_Average_Benchmark</f>
        <v>25.4</v>
      </c>
      <c r="H30" s="777" t="s">
        <v>159</v>
      </c>
      <c r="I30" s="778"/>
      <c r="J30" s="1"/>
      <c r="K30" s="751" t="s">
        <v>172</v>
      </c>
      <c r="L30" s="751" t="s">
        <v>173</v>
      </c>
      <c r="M30" s="751"/>
      <c r="N30" s="751"/>
      <c r="O30" s="751"/>
      <c r="P30" s="751"/>
      <c r="Q30" s="1"/>
      <c r="R30" s="751" t="s">
        <v>174</v>
      </c>
      <c r="S30" s="751">
        <v>250</v>
      </c>
      <c r="T30" s="751" t="s">
        <v>175</v>
      </c>
      <c r="U30" s="751" t="s">
        <v>176</v>
      </c>
      <c r="V30" s="1"/>
      <c r="W30" s="1"/>
      <c r="X30" s="1"/>
      <c r="Y30" s="1"/>
      <c r="Z30" s="1"/>
      <c r="AA30" s="1"/>
      <c r="AB30" s="1"/>
      <c r="AC30" s="1"/>
      <c r="AD30" s="1"/>
      <c r="AE30" s="1"/>
      <c r="AF30" s="1"/>
      <c r="AG30" s="1"/>
      <c r="AH30" s="1"/>
      <c r="AI30" s="1"/>
      <c r="AJ30" s="1"/>
      <c r="AK30" s="1"/>
      <c r="AL30" s="1"/>
      <c r="AM30" s="1"/>
      <c r="AN30" s="1"/>
      <c r="AO30" s="1"/>
    </row>
    <row r="31" spans="1:41" ht="15" customHeight="1" x14ac:dyDescent="0.3">
      <c r="A31" s="1"/>
      <c r="B31" s="1623"/>
      <c r="C31" s="1"/>
      <c r="D31" s="775"/>
      <c r="E31" s="776" t="s">
        <v>177</v>
      </c>
      <c r="F31" s="470"/>
      <c r="G31" s="793">
        <v>5</v>
      </c>
      <c r="H31" s="777" t="s">
        <v>36</v>
      </c>
      <c r="I31" s="778"/>
      <c r="J31" s="1"/>
      <c r="K31" s="751"/>
      <c r="L31" s="751"/>
      <c r="M31" s="751"/>
      <c r="N31" s="751"/>
      <c r="O31" s="751"/>
      <c r="P31" s="751"/>
      <c r="Q31" s="1"/>
      <c r="R31" s="751"/>
      <c r="S31" s="751"/>
      <c r="T31" s="751"/>
      <c r="U31" s="751"/>
      <c r="V31" s="1"/>
      <c r="W31" s="1"/>
      <c r="X31" s="1"/>
      <c r="Y31" s="1"/>
      <c r="Z31" s="1"/>
      <c r="AA31" s="1"/>
      <c r="AB31" s="1"/>
      <c r="AC31" s="1"/>
      <c r="AD31" s="1"/>
      <c r="AE31" s="1"/>
      <c r="AF31" s="1"/>
      <c r="AG31" s="1"/>
      <c r="AH31" s="1"/>
      <c r="AI31" s="1"/>
      <c r="AJ31" s="1"/>
      <c r="AK31" s="1"/>
      <c r="AL31" s="1"/>
      <c r="AM31" s="1"/>
      <c r="AN31" s="1"/>
      <c r="AO31" s="1"/>
    </row>
    <row r="32" spans="1:41" ht="15" customHeight="1" x14ac:dyDescent="0.3">
      <c r="A32" s="1"/>
      <c r="B32" s="1623"/>
      <c r="C32" s="1"/>
      <c r="D32" s="775"/>
      <c r="E32" s="776" t="s">
        <v>178</v>
      </c>
      <c r="F32" s="470"/>
      <c r="G32" s="793">
        <v>50</v>
      </c>
      <c r="H32" s="777" t="s">
        <v>179</v>
      </c>
      <c r="I32" s="778"/>
      <c r="J32" s="1"/>
      <c r="K32" s="751"/>
      <c r="L32" s="751"/>
      <c r="M32" s="751"/>
      <c r="N32" s="751"/>
      <c r="O32" s="751"/>
      <c r="P32" s="751"/>
      <c r="Q32" s="1"/>
      <c r="R32" s="751" t="s">
        <v>180</v>
      </c>
      <c r="S32" s="751"/>
      <c r="T32" s="751"/>
      <c r="U32" s="751"/>
      <c r="V32" s="1"/>
      <c r="W32" s="1"/>
      <c r="X32" s="1"/>
      <c r="Y32" s="1"/>
      <c r="Z32" s="1"/>
      <c r="AA32" s="1"/>
      <c r="AB32" s="1"/>
      <c r="AC32" s="1"/>
      <c r="AD32" s="1"/>
      <c r="AE32" s="1"/>
      <c r="AF32" s="1"/>
      <c r="AG32" s="1"/>
      <c r="AH32" s="1"/>
      <c r="AI32" s="1"/>
      <c r="AJ32" s="1"/>
      <c r="AK32" s="1"/>
      <c r="AL32" s="1"/>
      <c r="AM32" s="1"/>
      <c r="AN32" s="1"/>
      <c r="AO32" s="1"/>
    </row>
    <row r="33" spans="1:41" ht="15" customHeight="1" x14ac:dyDescent="0.3">
      <c r="A33" s="1"/>
      <c r="B33" s="1623"/>
      <c r="C33" s="1"/>
      <c r="D33" s="775"/>
      <c r="E33" s="776" t="s">
        <v>181</v>
      </c>
      <c r="F33" s="470"/>
      <c r="G33" s="793">
        <f>Car_Fuel_Economy_Average_Benchmark</f>
        <v>24.9</v>
      </c>
      <c r="H33" s="777" t="s">
        <v>148</v>
      </c>
      <c r="I33" s="778"/>
      <c r="J33" s="1"/>
      <c r="K33" s="751"/>
      <c r="L33" s="751"/>
      <c r="M33" s="751"/>
      <c r="N33" s="751"/>
      <c r="O33" s="751"/>
      <c r="P33" s="751"/>
      <c r="Q33" s="1"/>
      <c r="R33" s="751"/>
      <c r="S33" s="751"/>
      <c r="T33" s="751"/>
      <c r="U33" s="751"/>
      <c r="V33" s="1"/>
      <c r="W33" s="1"/>
      <c r="X33" s="1"/>
      <c r="Y33" s="1"/>
      <c r="Z33" s="1"/>
      <c r="AA33" s="1"/>
      <c r="AB33" s="1"/>
      <c r="AC33" s="1"/>
      <c r="AD33" s="1"/>
      <c r="AE33" s="1"/>
      <c r="AF33" s="1"/>
      <c r="AG33" s="1"/>
      <c r="AH33" s="1"/>
      <c r="AI33" s="1"/>
      <c r="AJ33" s="1"/>
      <c r="AK33" s="1"/>
      <c r="AL33" s="1"/>
      <c r="AM33" s="1"/>
      <c r="AN33" s="1"/>
      <c r="AO33" s="1"/>
    </row>
    <row r="34" spans="1:41" ht="15" customHeight="1" thickBot="1" x14ac:dyDescent="0.45">
      <c r="A34" s="1"/>
      <c r="B34" s="1623"/>
      <c r="C34" s="1"/>
      <c r="D34" s="775"/>
      <c r="E34" s="794" t="s">
        <v>182</v>
      </c>
      <c r="F34" s="795">
        <f>CO2_Emitted_per_Gallon_Average_Benchmark</f>
        <v>8.8870000000000005</v>
      </c>
      <c r="G34" s="796">
        <f>CO2_Emitted_per_Gallon_Average_Benchmark</f>
        <v>8.8870000000000005</v>
      </c>
      <c r="H34" s="782" t="s">
        <v>183</v>
      </c>
      <c r="I34" s="778"/>
      <c r="J34" s="1"/>
      <c r="K34" s="751"/>
      <c r="L34" s="751"/>
      <c r="M34" s="751"/>
      <c r="N34" s="751"/>
      <c r="O34" s="751"/>
      <c r="P34" s="751"/>
      <c r="Q34" s="1"/>
      <c r="R34" s="751"/>
      <c r="S34" s="751"/>
      <c r="T34" s="751"/>
      <c r="U34" s="751"/>
      <c r="V34" s="1"/>
      <c r="W34" s="1"/>
      <c r="X34" s="1"/>
      <c r="Y34" s="1"/>
      <c r="Z34" s="1"/>
      <c r="AA34" s="1"/>
      <c r="AB34" s="1"/>
      <c r="AC34" s="1"/>
      <c r="AD34" s="1"/>
      <c r="AE34" s="1"/>
      <c r="AF34" s="1"/>
      <c r="AG34" s="1"/>
      <c r="AH34" s="1"/>
      <c r="AI34" s="1"/>
      <c r="AJ34" s="1"/>
      <c r="AK34" s="1"/>
      <c r="AL34" s="1"/>
      <c r="AM34" s="1"/>
      <c r="AN34" s="1"/>
      <c r="AO34" s="1"/>
    </row>
    <row r="35" spans="1:41" ht="15" customHeight="1" thickBot="1" x14ac:dyDescent="0.45">
      <c r="A35" s="1"/>
      <c r="B35" s="1623"/>
      <c r="C35" s="1"/>
      <c r="D35" s="775"/>
      <c r="E35" s="797" t="s">
        <v>184</v>
      </c>
      <c r="F35" s="798">
        <f>IFERROR(PRODUCT(F29:F32,F34)/33:33,0)</f>
        <v>0</v>
      </c>
      <c r="G35" s="799">
        <f>PRODUCT(G29:G32,G34)/33:33</f>
        <v>1729.2353152610444</v>
      </c>
      <c r="H35" s="777" t="s">
        <v>8</v>
      </c>
      <c r="I35" s="778"/>
      <c r="J35" s="1"/>
      <c r="K35" s="751"/>
      <c r="L35" s="751"/>
      <c r="M35" s="751"/>
      <c r="N35" s="751"/>
      <c r="O35" s="751"/>
      <c r="P35" s="751"/>
      <c r="Q35" s="1"/>
      <c r="R35" s="751"/>
      <c r="S35" s="751"/>
      <c r="T35" s="751"/>
      <c r="U35" s="751"/>
      <c r="V35" s="1"/>
      <c r="W35" s="1"/>
      <c r="X35" s="1"/>
      <c r="Y35" s="1"/>
      <c r="Z35" s="1"/>
      <c r="AA35" s="1"/>
      <c r="AB35" s="1"/>
      <c r="AC35" s="1"/>
      <c r="AD35" s="1"/>
      <c r="AE35" s="1"/>
      <c r="AF35" s="1"/>
      <c r="AG35" s="1"/>
      <c r="AH35" s="1"/>
      <c r="AI35" s="1"/>
      <c r="AJ35" s="1"/>
      <c r="AK35" s="1"/>
      <c r="AL35" s="1"/>
      <c r="AM35" s="1"/>
      <c r="AN35" s="1"/>
      <c r="AO35" s="1"/>
    </row>
    <row r="36" spans="1:41" ht="15" customHeight="1" thickBot="1" x14ac:dyDescent="0.45">
      <c r="A36" s="1"/>
      <c r="B36" s="1623"/>
      <c r="C36" s="1"/>
      <c r="D36" s="775"/>
      <c r="E36" s="797" t="s">
        <v>874</v>
      </c>
      <c r="F36" s="800">
        <f>IFERROR(Transport_CO2_per_Occupant_Year_Proposed*Occupancy_Daily_Avg,"")</f>
        <v>0</v>
      </c>
      <c r="G36" s="799">
        <f>Transport_CO2_Annual_Total_Benchmark</f>
        <v>0</v>
      </c>
      <c r="H36" s="777" t="s">
        <v>5</v>
      </c>
      <c r="I36" s="778"/>
      <c r="J36" s="1"/>
      <c r="K36" s="751"/>
      <c r="L36" s="751"/>
      <c r="M36" s="751"/>
      <c r="N36" s="751"/>
      <c r="O36" s="751"/>
      <c r="P36" s="751"/>
      <c r="Q36" s="1"/>
      <c r="R36" s="751"/>
      <c r="S36" s="751"/>
      <c r="T36" s="751"/>
      <c r="U36" s="751"/>
      <c r="V36" s="1"/>
      <c r="W36" s="1"/>
      <c r="X36" s="1"/>
      <c r="Y36" s="1"/>
      <c r="Z36" s="1"/>
      <c r="AA36" s="1"/>
      <c r="AB36" s="1"/>
      <c r="AC36" s="1"/>
      <c r="AD36" s="1"/>
      <c r="AE36" s="1"/>
      <c r="AF36" s="1"/>
      <c r="AG36" s="1"/>
      <c r="AH36" s="1"/>
      <c r="AI36" s="1"/>
      <c r="AJ36" s="1"/>
      <c r="AK36" s="1"/>
      <c r="AL36" s="1"/>
      <c r="AM36" s="1"/>
      <c r="AN36" s="1"/>
      <c r="AO36" s="1"/>
    </row>
    <row r="37" spans="1:41" ht="15" customHeight="1" thickBot="1" x14ac:dyDescent="0.35">
      <c r="A37" s="1"/>
      <c r="B37" s="1623"/>
      <c r="C37" s="1"/>
      <c r="D37" s="775"/>
      <c r="E37" s="797"/>
      <c r="F37" s="801"/>
      <c r="G37" s="797"/>
      <c r="H37" s="777"/>
      <c r="I37" s="778"/>
      <c r="J37" s="1"/>
      <c r="K37" s="751"/>
      <c r="L37" s="751"/>
      <c r="M37" s="751"/>
      <c r="N37" s="751"/>
      <c r="O37" s="751"/>
      <c r="P37" s="751"/>
      <c r="Q37" s="1"/>
      <c r="R37" s="751"/>
      <c r="S37" s="751"/>
      <c r="T37" s="751"/>
      <c r="U37" s="751"/>
      <c r="V37" s="1"/>
      <c r="W37" s="1"/>
      <c r="X37" s="1"/>
      <c r="Y37" s="1"/>
      <c r="Z37" s="1"/>
      <c r="AA37" s="1"/>
      <c r="AB37" s="1"/>
      <c r="AC37" s="1"/>
      <c r="AD37" s="1"/>
      <c r="AE37" s="1"/>
      <c r="AF37" s="1"/>
      <c r="AG37" s="1"/>
      <c r="AH37" s="1"/>
      <c r="AI37" s="1"/>
      <c r="AJ37" s="1"/>
      <c r="AK37" s="1"/>
      <c r="AL37" s="1"/>
      <c r="AM37" s="1"/>
      <c r="AN37" s="1"/>
      <c r="AO37" s="1"/>
    </row>
    <row r="38" spans="1:41" ht="15" customHeight="1" thickBot="1" x14ac:dyDescent="0.35">
      <c r="A38" s="1"/>
      <c r="B38" s="1623"/>
      <c r="C38" s="1"/>
      <c r="D38" s="775"/>
      <c r="E38" s="797" t="s">
        <v>875</v>
      </c>
      <c r="F38" s="802">
        <f>IF(Transport_CO2_per_Occupant_Year_Proposed=0,0,(1-F35/G35))</f>
        <v>0</v>
      </c>
      <c r="G38" s="777"/>
      <c r="H38" s="777"/>
      <c r="I38" s="778"/>
      <c r="J38" s="1"/>
      <c r="K38" s="751"/>
      <c r="L38" s="751"/>
      <c r="M38" s="751"/>
      <c r="N38" s="751"/>
      <c r="O38" s="751"/>
      <c r="P38" s="751"/>
      <c r="Q38" s="1"/>
      <c r="R38" s="751"/>
      <c r="S38" s="751"/>
      <c r="T38" s="751"/>
      <c r="U38" s="751"/>
      <c r="V38" s="1"/>
      <c r="W38" s="1"/>
      <c r="X38" s="1"/>
      <c r="Y38" s="1"/>
      <c r="Z38" s="1"/>
      <c r="AA38" s="1"/>
      <c r="AB38" s="1"/>
      <c r="AC38" s="1"/>
      <c r="AD38" s="1"/>
      <c r="AE38" s="1"/>
      <c r="AF38" s="1"/>
      <c r="AG38" s="1"/>
      <c r="AH38" s="1"/>
      <c r="AI38" s="1"/>
      <c r="AJ38" s="1"/>
      <c r="AK38" s="1"/>
      <c r="AL38" s="1"/>
      <c r="AM38" s="1"/>
      <c r="AN38" s="1"/>
      <c r="AO38" s="1"/>
    </row>
    <row r="39" spans="1:41" ht="15" customHeight="1" x14ac:dyDescent="0.3">
      <c r="A39" s="1"/>
      <c r="B39" s="1623"/>
      <c r="C39" s="1"/>
      <c r="D39" s="803"/>
      <c r="E39" s="782"/>
      <c r="F39" s="781"/>
      <c r="G39" s="782"/>
      <c r="H39" s="782"/>
      <c r="I39" s="783"/>
      <c r="J39" s="1"/>
      <c r="K39" s="751"/>
      <c r="L39" s="751"/>
      <c r="M39" s="751"/>
      <c r="N39" s="751"/>
      <c r="O39" s="751"/>
      <c r="P39" s="751"/>
      <c r="Q39" s="1"/>
      <c r="R39" s="751"/>
      <c r="S39" s="751"/>
      <c r="T39" s="751"/>
      <c r="U39" s="751"/>
      <c r="V39" s="1"/>
      <c r="W39" s="1"/>
      <c r="X39" s="1"/>
      <c r="Y39" s="1"/>
      <c r="Z39" s="1"/>
      <c r="AA39" s="1"/>
      <c r="AB39" s="1"/>
      <c r="AC39" s="1"/>
      <c r="AD39" s="1"/>
      <c r="AE39" s="1"/>
      <c r="AF39" s="1"/>
      <c r="AG39" s="1"/>
      <c r="AH39" s="1"/>
      <c r="AI39" s="1"/>
      <c r="AJ39" s="1"/>
      <c r="AK39" s="1"/>
      <c r="AL39" s="1"/>
      <c r="AM39" s="1"/>
      <c r="AN39" s="1"/>
      <c r="AO39" s="1"/>
    </row>
    <row r="40" spans="1:41" ht="15" customHeight="1" x14ac:dyDescent="0.3">
      <c r="A40" s="1"/>
      <c r="B40" s="1"/>
      <c r="C40" s="1"/>
      <c r="D40" s="1"/>
      <c r="E40" s="1"/>
      <c r="F40" s="744"/>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row>
    <row r="41" spans="1:41" ht="15" customHeight="1" x14ac:dyDescent="0.3">
      <c r="A41" s="1"/>
      <c r="B41" s="1622" t="s">
        <v>976</v>
      </c>
      <c r="C41" s="1"/>
      <c r="D41" s="770" t="s">
        <v>693</v>
      </c>
      <c r="E41" s="741"/>
      <c r="F41" s="741"/>
      <c r="G41" s="741"/>
      <c r="H41" s="741"/>
      <c r="I41" s="742"/>
      <c r="J41" s="1"/>
      <c r="K41" s="751"/>
      <c r="L41" s="751"/>
      <c r="M41" s="751"/>
      <c r="N41" s="751"/>
      <c r="O41" s="751"/>
      <c r="P41" s="751"/>
      <c r="Q41" s="1"/>
      <c r="R41" s="749"/>
      <c r="S41" s="749"/>
      <c r="T41" s="749"/>
      <c r="U41" s="749"/>
      <c r="V41" s="1"/>
      <c r="W41" s="1"/>
      <c r="X41" s="1"/>
      <c r="Y41" s="1"/>
      <c r="Z41" s="1"/>
      <c r="AA41" s="1"/>
      <c r="AB41" s="1"/>
      <c r="AC41" s="1"/>
      <c r="AD41" s="1"/>
      <c r="AE41" s="1"/>
      <c r="AF41" s="1"/>
      <c r="AG41" s="1"/>
      <c r="AH41" s="1"/>
      <c r="AI41" s="1"/>
      <c r="AJ41" s="1"/>
      <c r="AK41" s="1"/>
      <c r="AL41" s="1"/>
      <c r="AM41" s="1"/>
      <c r="AN41" s="1"/>
      <c r="AO41" s="1"/>
    </row>
    <row r="42" spans="1:41" ht="15" customHeight="1" x14ac:dyDescent="0.3">
      <c r="A42" s="1"/>
      <c r="B42" s="1623"/>
      <c r="C42" s="1"/>
      <c r="D42" s="771"/>
      <c r="E42" s="772"/>
      <c r="F42" s="773"/>
      <c r="G42" s="772"/>
      <c r="H42" s="772"/>
      <c r="I42" s="774"/>
      <c r="J42" s="1"/>
      <c r="K42" s="751"/>
      <c r="L42" s="751"/>
      <c r="M42" s="751"/>
      <c r="N42" s="751"/>
      <c r="O42" s="751"/>
      <c r="P42" s="751"/>
      <c r="Q42" s="1"/>
      <c r="R42" s="751"/>
      <c r="S42" s="751"/>
      <c r="T42" s="751"/>
      <c r="U42" s="750"/>
      <c r="V42" s="1"/>
      <c r="W42" s="1"/>
      <c r="X42" s="1"/>
      <c r="Y42" s="1"/>
      <c r="Z42" s="1"/>
      <c r="AA42" s="1"/>
      <c r="AB42" s="1"/>
      <c r="AC42" s="1"/>
      <c r="AD42" s="1"/>
      <c r="AE42" s="1"/>
      <c r="AF42" s="1"/>
      <c r="AG42" s="1"/>
      <c r="AH42" s="1"/>
      <c r="AI42" s="1"/>
      <c r="AJ42" s="1"/>
      <c r="AK42" s="1"/>
      <c r="AL42" s="1"/>
      <c r="AM42" s="1"/>
      <c r="AN42" s="1"/>
      <c r="AO42" s="1"/>
    </row>
    <row r="43" spans="1:41" ht="15" customHeight="1" x14ac:dyDescent="0.3">
      <c r="A43" s="1"/>
      <c r="B43" s="1623"/>
      <c r="C43" s="1"/>
      <c r="D43" s="786"/>
      <c r="E43" s="1624"/>
      <c r="F43" s="1625"/>
      <c r="G43" s="1625"/>
      <c r="H43" s="1626"/>
      <c r="I43" s="778"/>
      <c r="J43" s="1"/>
      <c r="K43" s="751"/>
      <c r="L43" s="751"/>
      <c r="M43" s="751"/>
      <c r="N43" s="751"/>
      <c r="O43" s="751"/>
      <c r="P43" s="751"/>
      <c r="Q43" s="1"/>
      <c r="R43" s="751"/>
      <c r="S43" s="789"/>
      <c r="T43" s="751"/>
      <c r="U43" s="750"/>
      <c r="V43" s="1"/>
      <c r="W43" s="1"/>
      <c r="X43" s="1"/>
      <c r="Y43" s="1"/>
      <c r="Z43" s="1"/>
      <c r="AA43" s="1"/>
      <c r="AB43" s="1"/>
      <c r="AC43" s="1"/>
      <c r="AD43" s="1"/>
      <c r="AE43" s="1"/>
      <c r="AF43" s="1"/>
      <c r="AG43" s="1"/>
      <c r="AH43" s="1"/>
      <c r="AI43" s="1"/>
      <c r="AJ43" s="1"/>
      <c r="AK43" s="1"/>
      <c r="AL43" s="1"/>
      <c r="AM43" s="1"/>
      <c r="AN43" s="1"/>
      <c r="AO43" s="1"/>
    </row>
    <row r="44" spans="1:41" ht="15" customHeight="1" x14ac:dyDescent="0.3">
      <c r="A44" s="1"/>
      <c r="B44" s="1623"/>
      <c r="C44" s="1"/>
      <c r="D44" s="786"/>
      <c r="E44" s="1627"/>
      <c r="F44" s="1628"/>
      <c r="G44" s="1628"/>
      <c r="H44" s="1629"/>
      <c r="I44" s="778"/>
      <c r="J44" s="1"/>
      <c r="K44" s="751"/>
      <c r="L44" s="751"/>
      <c r="M44" s="751"/>
      <c r="N44" s="751"/>
      <c r="O44" s="751"/>
      <c r="P44" s="751"/>
      <c r="Q44" s="1"/>
      <c r="R44" s="751"/>
      <c r="S44" s="751"/>
      <c r="T44" s="751"/>
      <c r="U44" s="750"/>
      <c r="V44" s="1"/>
      <c r="W44" s="1"/>
      <c r="X44" s="1"/>
      <c r="Y44" s="1"/>
      <c r="Z44" s="1"/>
      <c r="AA44" s="1"/>
      <c r="AB44" s="1"/>
      <c r="AC44" s="1"/>
      <c r="AD44" s="1"/>
      <c r="AE44" s="1"/>
      <c r="AF44" s="1"/>
      <c r="AG44" s="1"/>
      <c r="AH44" s="1"/>
      <c r="AI44" s="1"/>
      <c r="AJ44" s="1"/>
      <c r="AK44" s="1"/>
      <c r="AL44" s="1"/>
      <c r="AM44" s="1"/>
      <c r="AN44" s="1"/>
      <c r="AO44" s="1"/>
    </row>
    <row r="45" spans="1:41" ht="15" customHeight="1" x14ac:dyDescent="0.3">
      <c r="A45" s="1"/>
      <c r="B45" s="1623"/>
      <c r="C45" s="1"/>
      <c r="D45" s="786"/>
      <c r="E45" s="1627"/>
      <c r="F45" s="1628"/>
      <c r="G45" s="1628"/>
      <c r="H45" s="1629"/>
      <c r="I45" s="778"/>
      <c r="J45" s="1"/>
      <c r="K45" s="751"/>
      <c r="L45" s="751"/>
      <c r="M45" s="751"/>
      <c r="N45" s="751"/>
      <c r="O45" s="751"/>
      <c r="P45" s="751"/>
      <c r="Q45" s="1"/>
      <c r="R45" s="751"/>
      <c r="S45" s="751"/>
      <c r="T45" s="751"/>
      <c r="U45" s="751"/>
      <c r="V45" s="1"/>
      <c r="W45" s="1"/>
      <c r="X45" s="1"/>
      <c r="Y45" s="1"/>
      <c r="Z45" s="1"/>
      <c r="AA45" s="1"/>
      <c r="AB45" s="1"/>
      <c r="AC45" s="1"/>
      <c r="AD45" s="1"/>
      <c r="AE45" s="1"/>
      <c r="AF45" s="1"/>
      <c r="AG45" s="1"/>
      <c r="AH45" s="1"/>
      <c r="AI45" s="1"/>
      <c r="AJ45" s="1"/>
      <c r="AK45" s="1"/>
      <c r="AL45" s="1"/>
      <c r="AM45" s="1"/>
      <c r="AN45" s="1"/>
      <c r="AO45" s="1"/>
    </row>
    <row r="46" spans="1:41" ht="15" customHeight="1" x14ac:dyDescent="0.3">
      <c r="A46" s="1"/>
      <c r="B46" s="1623"/>
      <c r="C46" s="1"/>
      <c r="D46" s="786"/>
      <c r="E46" s="1627"/>
      <c r="F46" s="1628"/>
      <c r="G46" s="1628"/>
      <c r="H46" s="1629"/>
      <c r="I46" s="778"/>
      <c r="J46" s="1"/>
      <c r="K46" s="751"/>
      <c r="L46" s="751"/>
      <c r="M46" s="751"/>
      <c r="N46" s="751"/>
      <c r="O46" s="751"/>
      <c r="P46" s="751"/>
      <c r="Q46" s="1"/>
      <c r="R46" s="751"/>
      <c r="S46" s="792"/>
      <c r="T46" s="751"/>
      <c r="U46" s="750"/>
      <c r="V46" s="1"/>
      <c r="W46" s="1"/>
      <c r="X46" s="1"/>
      <c r="Y46" s="1"/>
      <c r="Z46" s="1"/>
      <c r="AA46" s="1"/>
      <c r="AB46" s="1"/>
      <c r="AC46" s="1"/>
      <c r="AD46" s="1"/>
      <c r="AE46" s="1"/>
      <c r="AF46" s="1"/>
      <c r="AG46" s="1"/>
      <c r="AH46" s="1"/>
      <c r="AI46" s="1"/>
      <c r="AJ46" s="1"/>
      <c r="AK46" s="1"/>
      <c r="AL46" s="1"/>
      <c r="AM46" s="1"/>
      <c r="AN46" s="1"/>
      <c r="AO46" s="1"/>
    </row>
    <row r="47" spans="1:41" ht="15" customHeight="1" x14ac:dyDescent="0.3">
      <c r="A47" s="1"/>
      <c r="B47" s="1623"/>
      <c r="C47" s="1"/>
      <c r="D47" s="786"/>
      <c r="E47" s="1627"/>
      <c r="F47" s="1628"/>
      <c r="G47" s="1628"/>
      <c r="H47" s="1629"/>
      <c r="I47" s="778"/>
      <c r="J47" s="1"/>
      <c r="K47" s="751"/>
      <c r="L47" s="751"/>
      <c r="M47" s="751"/>
      <c r="N47" s="751"/>
      <c r="O47" s="751"/>
      <c r="P47" s="751"/>
      <c r="Q47" s="1"/>
      <c r="R47" s="751"/>
      <c r="S47" s="751"/>
      <c r="T47" s="751"/>
      <c r="U47" s="751"/>
      <c r="V47" s="1"/>
      <c r="W47" s="1"/>
      <c r="X47" s="1"/>
      <c r="Y47" s="1"/>
      <c r="Z47" s="1"/>
      <c r="AA47" s="1"/>
      <c r="AB47" s="1"/>
      <c r="AC47" s="1"/>
      <c r="AD47" s="1"/>
      <c r="AE47" s="1"/>
      <c r="AF47" s="1"/>
      <c r="AG47" s="1"/>
      <c r="AH47" s="1"/>
      <c r="AI47" s="1"/>
      <c r="AJ47" s="1"/>
      <c r="AK47" s="1"/>
      <c r="AL47" s="1"/>
      <c r="AM47" s="1"/>
      <c r="AN47" s="1"/>
      <c r="AO47" s="1"/>
    </row>
    <row r="48" spans="1:41" ht="15" customHeight="1" x14ac:dyDescent="0.3">
      <c r="A48" s="1"/>
      <c r="B48" s="1623"/>
      <c r="C48" s="1"/>
      <c r="D48" s="786"/>
      <c r="E48" s="1630"/>
      <c r="F48" s="1631"/>
      <c r="G48" s="1631"/>
      <c r="H48" s="1632"/>
      <c r="I48" s="778"/>
      <c r="J48" s="1"/>
      <c r="K48" s="751"/>
      <c r="L48" s="751"/>
      <c r="M48" s="751"/>
      <c r="N48" s="751"/>
      <c r="O48" s="751"/>
      <c r="P48" s="751"/>
      <c r="Q48" s="1"/>
      <c r="R48" s="751"/>
      <c r="S48" s="751"/>
      <c r="T48" s="751"/>
      <c r="U48" s="751"/>
      <c r="V48" s="1"/>
      <c r="W48" s="1"/>
      <c r="X48" s="1"/>
      <c r="Y48" s="1"/>
      <c r="Z48" s="1"/>
      <c r="AA48" s="1"/>
      <c r="AB48" s="1"/>
      <c r="AC48" s="1"/>
      <c r="AD48" s="1"/>
      <c r="AE48" s="1"/>
      <c r="AF48" s="1"/>
      <c r="AG48" s="1"/>
      <c r="AH48" s="1"/>
      <c r="AI48" s="1"/>
      <c r="AJ48" s="1"/>
      <c r="AK48" s="1"/>
      <c r="AL48" s="1"/>
      <c r="AM48" s="1"/>
      <c r="AN48" s="1"/>
      <c r="AO48" s="1"/>
    </row>
    <row r="49" spans="1:41" ht="15" customHeight="1" x14ac:dyDescent="0.3">
      <c r="A49" s="1"/>
      <c r="B49" s="1623"/>
      <c r="C49" s="1"/>
      <c r="D49" s="803"/>
      <c r="E49" s="782"/>
      <c r="F49" s="781"/>
      <c r="G49" s="782"/>
      <c r="H49" s="782"/>
      <c r="I49" s="783"/>
      <c r="J49" s="1"/>
      <c r="K49" s="751"/>
      <c r="L49" s="751"/>
      <c r="M49" s="751"/>
      <c r="N49" s="751"/>
      <c r="O49" s="751"/>
      <c r="P49" s="751"/>
      <c r="Q49" s="1"/>
      <c r="R49" s="751"/>
      <c r="S49" s="751"/>
      <c r="T49" s="751"/>
      <c r="U49" s="751"/>
      <c r="V49" s="1"/>
      <c r="W49" s="1"/>
      <c r="X49" s="1"/>
      <c r="Y49" s="1"/>
      <c r="Z49" s="1"/>
      <c r="AA49" s="1"/>
      <c r="AB49" s="1"/>
      <c r="AC49" s="1"/>
      <c r="AD49" s="1"/>
      <c r="AE49" s="1"/>
      <c r="AF49" s="1"/>
      <c r="AG49" s="1"/>
      <c r="AH49" s="1"/>
      <c r="AI49" s="1"/>
      <c r="AJ49" s="1"/>
      <c r="AK49" s="1"/>
      <c r="AL49" s="1"/>
      <c r="AM49" s="1"/>
      <c r="AN49" s="1"/>
      <c r="AO49" s="1"/>
    </row>
    <row r="50" spans="1:41" ht="15" customHeight="1" x14ac:dyDescent="0.3">
      <c r="A50" s="1"/>
      <c r="B50" s="1"/>
      <c r="C50" s="1"/>
      <c r="D50" s="1"/>
      <c r="E50" s="1"/>
      <c r="F50" s="744"/>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row>
    <row r="51" spans="1:41" ht="15" customHeight="1" x14ac:dyDescent="0.3">
      <c r="A51" s="1"/>
      <c r="B51" s="1"/>
      <c r="C51" s="1"/>
      <c r="D51" s="1"/>
      <c r="E51" s="1"/>
      <c r="F51" s="744"/>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row>
    <row r="52" spans="1:41" ht="15" customHeight="1" x14ac:dyDescent="0.3">
      <c r="A52" s="1"/>
      <c r="B52" s="1"/>
      <c r="C52" s="1"/>
      <c r="D52" s="1"/>
      <c r="E52" s="1"/>
      <c r="F52" s="744"/>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row>
    <row r="53" spans="1:41" ht="15" customHeight="1" x14ac:dyDescent="0.3">
      <c r="A53" s="1"/>
      <c r="B53" s="1"/>
      <c r="C53" s="1"/>
      <c r="D53" s="1"/>
      <c r="E53" s="1"/>
      <c r="F53" s="744"/>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row>
    <row r="54" spans="1:41" ht="15" customHeight="1" x14ac:dyDescent="0.3">
      <c r="A54" s="1"/>
      <c r="B54" s="1"/>
      <c r="C54" s="1"/>
      <c r="D54" s="1"/>
      <c r="E54" s="1"/>
      <c r="F54" s="744"/>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row>
    <row r="55" spans="1:41" ht="15" customHeight="1" x14ac:dyDescent="0.3">
      <c r="A55" s="1"/>
      <c r="B55" s="1"/>
      <c r="C55" s="1"/>
      <c r="D55" s="1"/>
      <c r="E55" s="1"/>
      <c r="F55" s="744"/>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row>
    <row r="56" spans="1:41" ht="15" customHeight="1" x14ac:dyDescent="0.3">
      <c r="A56" s="1"/>
      <c r="B56" s="1"/>
      <c r="C56" s="1"/>
      <c r="D56" s="1"/>
      <c r="E56" s="1"/>
      <c r="F56" s="744"/>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row>
    <row r="57" spans="1:41" ht="15" customHeight="1" x14ac:dyDescent="0.3">
      <c r="A57" s="1"/>
      <c r="B57" s="1"/>
      <c r="C57" s="1"/>
      <c r="D57" s="1"/>
      <c r="E57" s="1"/>
      <c r="F57" s="744"/>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row>
    <row r="58" spans="1:41" ht="15" customHeight="1" x14ac:dyDescent="0.3">
      <c r="A58" s="1"/>
      <c r="B58" s="1"/>
      <c r="C58" s="1"/>
      <c r="D58" s="1"/>
      <c r="E58" s="1"/>
      <c r="F58" s="744"/>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row>
    <row r="59" spans="1:41" ht="15" customHeight="1" x14ac:dyDescent="0.3">
      <c r="A59" s="1"/>
      <c r="B59" s="1"/>
      <c r="C59" s="1"/>
      <c r="D59" s="1"/>
      <c r="E59" s="1"/>
      <c r="F59" s="744"/>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row>
    <row r="60" spans="1:41" ht="15" customHeight="1" x14ac:dyDescent="0.3">
      <c r="A60" s="1"/>
      <c r="B60" s="1"/>
      <c r="C60" s="1"/>
      <c r="D60" s="1"/>
      <c r="E60" s="1"/>
      <c r="F60" s="744"/>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row>
    <row r="61" spans="1:41" ht="15" customHeight="1" x14ac:dyDescent="0.3">
      <c r="A61" s="1"/>
      <c r="B61" s="1"/>
      <c r="C61" s="1"/>
      <c r="D61" s="1"/>
      <c r="E61" s="1"/>
      <c r="F61" s="744"/>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row>
    <row r="62" spans="1:41" ht="15" customHeight="1" x14ac:dyDescent="0.3">
      <c r="A62" s="1"/>
      <c r="B62" s="1"/>
      <c r="C62" s="1"/>
      <c r="D62" s="1"/>
      <c r="E62" s="1"/>
      <c r="F62" s="744"/>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row>
    <row r="63" spans="1:41" ht="15" customHeight="1" x14ac:dyDescent="0.3">
      <c r="A63" s="1"/>
      <c r="B63" s="1"/>
      <c r="C63" s="1"/>
      <c r="D63" s="1"/>
      <c r="E63" s="1"/>
      <c r="F63" s="744"/>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row>
    <row r="64" spans="1:41" ht="15" customHeight="1" x14ac:dyDescent="0.3">
      <c r="A64" s="1"/>
      <c r="B64" s="1"/>
      <c r="C64" s="1"/>
      <c r="D64" s="1"/>
      <c r="E64" s="1"/>
      <c r="F64" s="744"/>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row>
    <row r="65" spans="1:41" ht="15" customHeight="1" x14ac:dyDescent="0.3">
      <c r="A65" s="1"/>
      <c r="B65" s="1"/>
      <c r="C65" s="1"/>
      <c r="D65" s="1"/>
      <c r="E65" s="1"/>
      <c r="F65" s="744"/>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row>
    <row r="66" spans="1:41" ht="15" customHeight="1" x14ac:dyDescent="0.3">
      <c r="A66" s="1"/>
      <c r="B66" s="1"/>
      <c r="C66" s="1"/>
      <c r="D66" s="1"/>
      <c r="E66" s="1"/>
      <c r="F66" s="744"/>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row>
    <row r="67" spans="1:41" ht="15" customHeight="1" x14ac:dyDescent="0.3">
      <c r="A67" s="1"/>
      <c r="B67" s="1"/>
      <c r="C67" s="1"/>
      <c r="D67" s="1"/>
      <c r="E67" s="1"/>
      <c r="F67" s="744"/>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row>
    <row r="68" spans="1:41" ht="15" customHeight="1" x14ac:dyDescent="0.3">
      <c r="A68" s="1"/>
      <c r="B68" s="1"/>
      <c r="C68" s="1"/>
      <c r="D68" s="1"/>
      <c r="E68" s="1"/>
      <c r="F68" s="744"/>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row>
    <row r="69" spans="1:41" ht="15" customHeight="1" x14ac:dyDescent="0.3">
      <c r="A69" s="1"/>
      <c r="B69" s="1"/>
      <c r="C69" s="1"/>
      <c r="D69" s="1"/>
      <c r="E69" s="1"/>
      <c r="F69" s="744"/>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row>
    <row r="70" spans="1:41" ht="15" customHeight="1" x14ac:dyDescent="0.3">
      <c r="A70" s="1"/>
      <c r="B70" s="1"/>
      <c r="C70" s="1"/>
      <c r="D70" s="1"/>
      <c r="E70" s="1"/>
      <c r="F70" s="744"/>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row>
    <row r="71" spans="1:41" ht="15" customHeight="1" x14ac:dyDescent="0.3">
      <c r="A71" s="1"/>
      <c r="B71" s="1"/>
      <c r="C71" s="1"/>
      <c r="D71" s="1"/>
      <c r="E71" s="1"/>
      <c r="F71" s="744"/>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row>
    <row r="72" spans="1:41" ht="15" customHeight="1" x14ac:dyDescent="0.3">
      <c r="A72" s="1"/>
      <c r="B72" s="1"/>
      <c r="C72" s="1"/>
      <c r="D72" s="1"/>
      <c r="E72" s="1"/>
      <c r="F72" s="744"/>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row>
    <row r="73" spans="1:41" ht="15" customHeight="1" x14ac:dyDescent="0.3">
      <c r="A73" s="1"/>
      <c r="B73" s="1"/>
      <c r="C73" s="1"/>
      <c r="D73" s="1"/>
      <c r="E73" s="1"/>
      <c r="F73" s="744"/>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row>
    <row r="74" spans="1:41" ht="15" customHeight="1" x14ac:dyDescent="0.3">
      <c r="A74" s="1"/>
      <c r="B74" s="1"/>
      <c r="C74" s="1"/>
      <c r="D74" s="1"/>
      <c r="E74" s="1"/>
      <c r="F74" s="744"/>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row>
    <row r="75" spans="1:41" ht="15" customHeight="1" x14ac:dyDescent="0.3">
      <c r="A75" s="1"/>
      <c r="B75" s="1"/>
      <c r="C75" s="1"/>
      <c r="D75" s="1"/>
      <c r="E75" s="1"/>
      <c r="F75" s="744"/>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row>
    <row r="76" spans="1:41" ht="15" customHeight="1" x14ac:dyDescent="0.3">
      <c r="A76" s="1"/>
      <c r="B76" s="1"/>
      <c r="C76" s="1"/>
      <c r="D76" s="1"/>
      <c r="E76" s="1"/>
      <c r="F76" s="744"/>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row>
    <row r="77" spans="1:41" ht="15" customHeight="1" x14ac:dyDescent="0.3">
      <c r="A77" s="1"/>
      <c r="B77" s="1"/>
      <c r="C77" s="1"/>
      <c r="D77" s="1"/>
      <c r="E77" s="1"/>
      <c r="F77" s="744"/>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row>
    <row r="78" spans="1:41" ht="15" customHeight="1" x14ac:dyDescent="0.3">
      <c r="A78" s="1"/>
      <c r="B78" s="1"/>
      <c r="C78" s="1"/>
      <c r="D78" s="1"/>
      <c r="E78" s="1"/>
      <c r="F78" s="744"/>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row>
    <row r="79" spans="1:41" ht="15" customHeight="1" x14ac:dyDescent="0.3">
      <c r="A79" s="1"/>
      <c r="B79" s="1"/>
      <c r="C79" s="1"/>
      <c r="D79" s="1"/>
      <c r="E79" s="1"/>
      <c r="F79" s="744"/>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row>
    <row r="80" spans="1:41" ht="15" customHeight="1" x14ac:dyDescent="0.3">
      <c r="A80" s="1"/>
      <c r="B80" s="1"/>
      <c r="C80" s="1"/>
      <c r="D80" s="1"/>
      <c r="E80" s="1"/>
      <c r="F80" s="744"/>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row>
    <row r="81" spans="1:41" ht="15" customHeight="1" x14ac:dyDescent="0.3">
      <c r="A81" s="1"/>
      <c r="B81" s="1"/>
      <c r="C81" s="1"/>
      <c r="D81" s="1"/>
      <c r="E81" s="1"/>
      <c r="F81" s="744"/>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row>
    <row r="82" spans="1:41" ht="15" customHeight="1" x14ac:dyDescent="0.3">
      <c r="A82" s="1"/>
      <c r="B82" s="1"/>
      <c r="C82" s="1"/>
      <c r="D82" s="1"/>
      <c r="E82" s="1"/>
      <c r="F82" s="744"/>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row>
    <row r="83" spans="1:41" ht="15" customHeight="1" x14ac:dyDescent="0.3">
      <c r="A83" s="1"/>
      <c r="B83" s="1"/>
      <c r="C83" s="1"/>
      <c r="D83" s="1"/>
      <c r="E83" s="1"/>
      <c r="F83" s="744"/>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row>
    <row r="84" spans="1:41" ht="15" customHeight="1" x14ac:dyDescent="0.3">
      <c r="A84" s="1"/>
      <c r="B84" s="1"/>
      <c r="C84" s="1"/>
      <c r="D84" s="1"/>
      <c r="E84" s="1"/>
      <c r="F84" s="744"/>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row>
    <row r="85" spans="1:41" ht="15" customHeight="1" x14ac:dyDescent="0.3">
      <c r="A85" s="1"/>
      <c r="B85" s="1"/>
      <c r="C85" s="1"/>
      <c r="D85" s="1"/>
      <c r="E85" s="1"/>
      <c r="F85" s="744"/>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row>
    <row r="86" spans="1:41" ht="15" customHeight="1" x14ac:dyDescent="0.3">
      <c r="A86" s="1"/>
      <c r="B86" s="1"/>
      <c r="C86" s="1"/>
      <c r="D86" s="1"/>
      <c r="E86" s="1"/>
      <c r="F86" s="744"/>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row>
    <row r="87" spans="1:41" ht="15" customHeight="1" x14ac:dyDescent="0.3">
      <c r="A87" s="1"/>
      <c r="B87" s="1"/>
      <c r="C87" s="1"/>
      <c r="D87" s="1"/>
      <c r="E87" s="1"/>
      <c r="F87" s="744"/>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row>
    <row r="88" spans="1:41" ht="15" customHeight="1" x14ac:dyDescent="0.3">
      <c r="A88" s="1"/>
      <c r="B88" s="1"/>
      <c r="C88" s="1"/>
      <c r="D88" s="1"/>
      <c r="E88" s="1"/>
      <c r="F88" s="744"/>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row>
    <row r="89" spans="1:41" ht="15" customHeight="1" x14ac:dyDescent="0.3">
      <c r="A89" s="1"/>
      <c r="B89" s="1"/>
      <c r="C89" s="1"/>
      <c r="D89" s="1"/>
      <c r="E89" s="1"/>
      <c r="F89" s="744"/>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row>
    <row r="90" spans="1:41" ht="15" customHeight="1" x14ac:dyDescent="0.3">
      <c r="A90" s="1"/>
      <c r="B90" s="1"/>
      <c r="C90" s="1"/>
      <c r="D90" s="1"/>
      <c r="E90" s="1"/>
      <c r="F90" s="744"/>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row>
    <row r="91" spans="1:41" ht="15" customHeight="1" x14ac:dyDescent="0.3">
      <c r="A91" s="1"/>
      <c r="B91" s="1"/>
      <c r="C91" s="1"/>
      <c r="D91" s="1"/>
      <c r="E91" s="1"/>
      <c r="F91" s="744"/>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row>
    <row r="92" spans="1:41" ht="15" customHeight="1" x14ac:dyDescent="0.3">
      <c r="A92" s="1"/>
      <c r="B92" s="1"/>
      <c r="C92" s="1"/>
      <c r="D92" s="1"/>
      <c r="E92" s="1"/>
      <c r="F92" s="744"/>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row>
    <row r="93" spans="1:41" ht="15" customHeight="1" x14ac:dyDescent="0.3">
      <c r="A93" s="1"/>
      <c r="B93" s="1"/>
      <c r="C93" s="1"/>
      <c r="D93" s="1"/>
      <c r="E93" s="1"/>
      <c r="F93" s="744"/>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row>
    <row r="94" spans="1:41" ht="15" customHeight="1" x14ac:dyDescent="0.3">
      <c r="A94" s="1"/>
      <c r="B94" s="1"/>
      <c r="C94" s="1"/>
      <c r="D94" s="1"/>
      <c r="E94" s="1"/>
      <c r="F94" s="744"/>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row>
    <row r="95" spans="1:41" ht="15" customHeight="1" x14ac:dyDescent="0.3">
      <c r="A95" s="1"/>
      <c r="B95" s="1"/>
      <c r="C95" s="1"/>
      <c r="D95" s="1"/>
      <c r="E95" s="1"/>
      <c r="F95" s="744"/>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row>
    <row r="96" spans="1:41" ht="15" customHeight="1" x14ac:dyDescent="0.3">
      <c r="A96" s="1"/>
      <c r="B96" s="1"/>
      <c r="C96" s="1"/>
      <c r="D96" s="1"/>
      <c r="E96" s="1"/>
      <c r="F96" s="744"/>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row>
    <row r="97" spans="1:41" ht="15" customHeight="1" x14ac:dyDescent="0.3">
      <c r="A97" s="1"/>
      <c r="B97" s="1"/>
      <c r="C97" s="1"/>
      <c r="D97" s="1"/>
      <c r="E97" s="1"/>
      <c r="F97" s="744"/>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row>
    <row r="98" spans="1:41" ht="15" customHeight="1" x14ac:dyDescent="0.3">
      <c r="A98" s="1"/>
      <c r="B98" s="1"/>
      <c r="C98" s="1"/>
      <c r="D98" s="1"/>
      <c r="E98" s="1"/>
      <c r="F98" s="744"/>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row>
    <row r="99" spans="1:41" ht="15" customHeight="1" x14ac:dyDescent="0.3">
      <c r="A99" s="1"/>
      <c r="B99" s="1"/>
      <c r="C99" s="1"/>
      <c r="D99" s="1"/>
      <c r="E99" s="1"/>
      <c r="F99" s="744"/>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row>
    <row r="100" spans="1:41" ht="15" customHeight="1" x14ac:dyDescent="0.3">
      <c r="A100" s="1"/>
      <c r="B100" s="1"/>
      <c r="C100" s="1"/>
      <c r="D100" s="1"/>
      <c r="E100" s="1"/>
      <c r="F100" s="744"/>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row>
    <row r="101" spans="1:41" ht="15" customHeight="1" x14ac:dyDescent="0.3">
      <c r="A101" s="1"/>
      <c r="B101" s="1"/>
      <c r="C101" s="1"/>
      <c r="D101" s="1"/>
      <c r="E101" s="1"/>
      <c r="F101" s="744"/>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row>
    <row r="102" spans="1:41" ht="15" customHeight="1" x14ac:dyDescent="0.3">
      <c r="A102" s="1"/>
      <c r="B102" s="1"/>
      <c r="C102" s="1"/>
      <c r="D102" s="1"/>
      <c r="E102" s="1"/>
      <c r="F102" s="744"/>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row>
    <row r="103" spans="1:41" ht="15" customHeight="1" x14ac:dyDescent="0.3">
      <c r="A103" s="1"/>
      <c r="B103" s="1"/>
      <c r="C103" s="1"/>
      <c r="D103" s="1"/>
      <c r="E103" s="1"/>
      <c r="F103" s="744"/>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row>
    <row r="104" spans="1:41" ht="15" customHeight="1" x14ac:dyDescent="0.3">
      <c r="A104" s="1"/>
      <c r="B104" s="1"/>
      <c r="C104" s="1"/>
      <c r="D104" s="1"/>
      <c r="E104" s="1"/>
      <c r="F104" s="744"/>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row>
    <row r="105" spans="1:41" ht="15" customHeight="1" x14ac:dyDescent="0.3">
      <c r="A105" s="1"/>
      <c r="B105" s="1"/>
      <c r="C105" s="1"/>
      <c r="D105" s="1"/>
      <c r="E105" s="1"/>
      <c r="F105" s="744"/>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row>
    <row r="106" spans="1:41" ht="15" customHeight="1" x14ac:dyDescent="0.3">
      <c r="A106" s="1"/>
      <c r="B106" s="1"/>
      <c r="C106" s="1"/>
      <c r="D106" s="1"/>
      <c r="E106" s="1"/>
      <c r="F106" s="744"/>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row>
    <row r="107" spans="1:41" ht="15" customHeight="1" x14ac:dyDescent="0.3">
      <c r="A107" s="1"/>
      <c r="B107" s="1"/>
      <c r="C107" s="1"/>
      <c r="D107" s="1"/>
      <c r="E107" s="1"/>
      <c r="F107" s="744"/>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row>
    <row r="108" spans="1:41" ht="15" customHeight="1" x14ac:dyDescent="0.3">
      <c r="A108" s="1"/>
      <c r="B108" s="1"/>
      <c r="C108" s="1"/>
      <c r="D108" s="1"/>
      <c r="E108" s="1"/>
      <c r="F108" s="744"/>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row>
    <row r="109" spans="1:41" ht="15" customHeight="1" x14ac:dyDescent="0.3">
      <c r="A109" s="1"/>
      <c r="B109" s="1"/>
      <c r="C109" s="1"/>
      <c r="D109" s="1"/>
      <c r="E109" s="1"/>
      <c r="F109" s="744"/>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row>
    <row r="110" spans="1:41" ht="15" customHeight="1" x14ac:dyDescent="0.3">
      <c r="A110" s="1"/>
      <c r="B110" s="1"/>
      <c r="C110" s="1"/>
      <c r="D110" s="1"/>
      <c r="E110" s="1"/>
      <c r="F110" s="744"/>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row>
    <row r="111" spans="1:41" ht="15" customHeight="1" x14ac:dyDescent="0.3">
      <c r="A111" s="1"/>
      <c r="B111" s="1"/>
      <c r="C111" s="1"/>
      <c r="D111" s="1"/>
      <c r="E111" s="1"/>
      <c r="F111" s="744"/>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row>
    <row r="112" spans="1:41" ht="15" customHeight="1" x14ac:dyDescent="0.3">
      <c r="A112" s="1"/>
      <c r="B112" s="1"/>
      <c r="C112" s="1"/>
      <c r="D112" s="1"/>
      <c r="E112" s="1"/>
      <c r="F112" s="744"/>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row>
    <row r="113" spans="1:41" ht="15" customHeight="1" x14ac:dyDescent="0.3">
      <c r="A113" s="1"/>
      <c r="B113" s="1"/>
      <c r="C113" s="1"/>
      <c r="D113" s="1"/>
      <c r="E113" s="1"/>
      <c r="F113" s="744"/>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row>
    <row r="114" spans="1:41" ht="15" customHeight="1" x14ac:dyDescent="0.3">
      <c r="A114" s="1"/>
      <c r="B114" s="1"/>
      <c r="C114" s="1"/>
      <c r="D114" s="1"/>
      <c r="E114" s="1"/>
      <c r="F114" s="744"/>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row>
    <row r="115" spans="1:41" ht="15" customHeight="1" x14ac:dyDescent="0.3">
      <c r="A115" s="1"/>
      <c r="B115" s="1"/>
      <c r="C115" s="1"/>
      <c r="D115" s="1"/>
      <c r="E115" s="1"/>
      <c r="F115" s="744"/>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row>
    <row r="116" spans="1:41" ht="15" customHeight="1" x14ac:dyDescent="0.3">
      <c r="A116" s="1"/>
      <c r="B116" s="1"/>
      <c r="C116" s="1"/>
      <c r="D116" s="1"/>
      <c r="E116" s="1"/>
      <c r="F116" s="744"/>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row>
    <row r="117" spans="1:41" ht="15" customHeight="1" x14ac:dyDescent="0.3">
      <c r="A117" s="1"/>
      <c r="B117" s="1"/>
      <c r="C117" s="1"/>
      <c r="D117" s="1"/>
      <c r="E117" s="1"/>
      <c r="F117" s="744"/>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row>
    <row r="118" spans="1:41" ht="15" customHeight="1" x14ac:dyDescent="0.3">
      <c r="A118" s="1"/>
      <c r="B118" s="1"/>
      <c r="C118" s="1"/>
      <c r="D118" s="1"/>
      <c r="E118" s="1"/>
      <c r="F118" s="744"/>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row>
    <row r="119" spans="1:41" ht="15" customHeight="1" x14ac:dyDescent="0.3">
      <c r="A119" s="1"/>
      <c r="B119" s="1"/>
      <c r="C119" s="1"/>
      <c r="D119" s="1"/>
      <c r="E119" s="1"/>
      <c r="F119" s="744"/>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row>
    <row r="120" spans="1:41" ht="15" customHeight="1" x14ac:dyDescent="0.3">
      <c r="A120" s="1"/>
      <c r="B120" s="1"/>
      <c r="C120" s="1"/>
      <c r="D120" s="1"/>
      <c r="E120" s="1"/>
      <c r="F120" s="744"/>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row>
    <row r="121" spans="1:41" ht="15" customHeight="1" x14ac:dyDescent="0.3">
      <c r="A121" s="1"/>
      <c r="B121" s="1"/>
      <c r="C121" s="1"/>
      <c r="D121" s="1"/>
      <c r="E121" s="1"/>
      <c r="F121" s="744"/>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row>
    <row r="122" spans="1:41" ht="15" customHeight="1" x14ac:dyDescent="0.3">
      <c r="A122" s="1"/>
      <c r="B122" s="1"/>
      <c r="C122" s="1"/>
      <c r="D122" s="1"/>
      <c r="E122" s="1"/>
      <c r="F122" s="744"/>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row>
    <row r="123" spans="1:41" ht="15" customHeight="1" x14ac:dyDescent="0.3">
      <c r="A123" s="1"/>
      <c r="B123" s="1"/>
      <c r="C123" s="1"/>
      <c r="D123" s="1"/>
      <c r="E123" s="1"/>
      <c r="F123" s="744"/>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row>
    <row r="124" spans="1:41" ht="15" customHeight="1" x14ac:dyDescent="0.3">
      <c r="A124" s="1"/>
      <c r="B124" s="1"/>
      <c r="C124" s="1"/>
      <c r="D124" s="1"/>
      <c r="E124" s="1"/>
      <c r="F124" s="744"/>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row>
    <row r="125" spans="1:41" ht="15" customHeight="1" x14ac:dyDescent="0.3">
      <c r="A125" s="1"/>
      <c r="B125" s="1"/>
      <c r="C125" s="1"/>
      <c r="D125" s="1"/>
      <c r="E125" s="1"/>
      <c r="F125" s="744"/>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row>
    <row r="126" spans="1:41" ht="15" customHeight="1" x14ac:dyDescent="0.3">
      <c r="A126" s="1"/>
      <c r="B126" s="1"/>
      <c r="C126" s="1"/>
      <c r="D126" s="1"/>
      <c r="E126" s="1"/>
      <c r="F126" s="744"/>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row>
    <row r="127" spans="1:41" ht="15" customHeight="1" x14ac:dyDescent="0.3">
      <c r="A127" s="1"/>
      <c r="B127" s="1"/>
      <c r="C127" s="1"/>
      <c r="D127" s="1"/>
      <c r="E127" s="1"/>
      <c r="F127" s="744"/>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row>
    <row r="128" spans="1:41" ht="15" customHeight="1" x14ac:dyDescent="0.3">
      <c r="A128" s="1"/>
      <c r="B128" s="1"/>
      <c r="C128" s="1"/>
      <c r="D128" s="1"/>
      <c r="E128" s="1"/>
      <c r="F128" s="744"/>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row>
    <row r="129" spans="1:41" ht="15" customHeight="1" x14ac:dyDescent="0.3">
      <c r="A129" s="1"/>
      <c r="B129" s="1"/>
      <c r="C129" s="1"/>
      <c r="D129" s="1"/>
      <c r="E129" s="1"/>
      <c r="F129" s="744"/>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row>
    <row r="130" spans="1:41" ht="15" customHeight="1" x14ac:dyDescent="0.3">
      <c r="A130" s="1"/>
      <c r="B130" s="1"/>
      <c r="C130" s="1"/>
      <c r="D130" s="1"/>
      <c r="E130" s="1"/>
      <c r="F130" s="744"/>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row>
    <row r="131" spans="1:41" ht="15" customHeight="1" x14ac:dyDescent="0.3">
      <c r="A131" s="1"/>
      <c r="B131" s="1"/>
      <c r="C131" s="1"/>
      <c r="D131" s="1"/>
      <c r="E131" s="1"/>
      <c r="F131" s="744"/>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row>
    <row r="132" spans="1:41" ht="15" customHeight="1" x14ac:dyDescent="0.3">
      <c r="A132" s="1"/>
      <c r="B132" s="1"/>
      <c r="C132" s="1"/>
      <c r="D132" s="1"/>
      <c r="E132" s="1"/>
      <c r="F132" s="744"/>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row>
    <row r="133" spans="1:41" ht="15" customHeight="1" x14ac:dyDescent="0.3">
      <c r="A133" s="1"/>
      <c r="B133" s="1"/>
      <c r="C133" s="1"/>
      <c r="D133" s="1"/>
      <c r="E133" s="1"/>
      <c r="F133" s="744"/>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row>
    <row r="134" spans="1:41" ht="15" customHeight="1" x14ac:dyDescent="0.3">
      <c r="A134" s="1"/>
      <c r="B134" s="1"/>
      <c r="C134" s="1"/>
      <c r="D134" s="1"/>
      <c r="E134" s="1"/>
      <c r="F134" s="744"/>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row>
    <row r="135" spans="1:41" ht="15" customHeight="1" x14ac:dyDescent="0.3">
      <c r="A135" s="1"/>
      <c r="B135" s="1"/>
      <c r="C135" s="1"/>
      <c r="D135" s="1"/>
      <c r="E135" s="1"/>
      <c r="F135" s="744"/>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row>
    <row r="136" spans="1:41" ht="15" customHeight="1" x14ac:dyDescent="0.3">
      <c r="A136" s="1"/>
      <c r="B136" s="1"/>
      <c r="C136" s="1"/>
      <c r="D136" s="1"/>
      <c r="E136" s="1"/>
      <c r="F136" s="744"/>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row>
    <row r="137" spans="1:41" ht="15" customHeight="1" x14ac:dyDescent="0.3">
      <c r="A137" s="1"/>
      <c r="B137" s="1"/>
      <c r="C137" s="1"/>
      <c r="D137" s="1"/>
      <c r="E137" s="1"/>
      <c r="F137" s="744"/>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row>
    <row r="138" spans="1:41" ht="15" customHeight="1" x14ac:dyDescent="0.3">
      <c r="W138" s="1"/>
      <c r="X138" s="1"/>
      <c r="Y138" s="1"/>
      <c r="Z138" s="1"/>
      <c r="AA138" s="1"/>
      <c r="AB138" s="1"/>
      <c r="AC138" s="1"/>
      <c r="AD138" s="1"/>
      <c r="AE138" s="1"/>
      <c r="AF138" s="1"/>
      <c r="AG138" s="1"/>
      <c r="AH138" s="1"/>
      <c r="AI138" s="1"/>
      <c r="AJ138" s="1"/>
      <c r="AK138" s="1"/>
      <c r="AL138" s="1"/>
      <c r="AM138" s="1"/>
      <c r="AN138" s="1"/>
      <c r="AO138" s="1"/>
    </row>
  </sheetData>
  <sheetProtection algorithmName="SHA-512" hashValue="jbdc08tdNmexqIflfY38H176VmoBOGiPlNmq+W2LndPpHl3+XdePmRxZKoBeM9vifOnol1o7JQRc2IVgG/qaTg==" saltValue="3cUW1Ev3ubI51tekQFV/bA==" spinCount="100000" sheet="1" objects="1" scenarios="1"/>
  <mergeCells count="14">
    <mergeCell ref="K5:P6"/>
    <mergeCell ref="B41:B49"/>
    <mergeCell ref="E43:H48"/>
    <mergeCell ref="B24:B39"/>
    <mergeCell ref="L8:M8"/>
    <mergeCell ref="L13:M13"/>
    <mergeCell ref="L15:M15"/>
    <mergeCell ref="B17:B22"/>
    <mergeCell ref="L18:M18"/>
    <mergeCell ref="L19:M19"/>
    <mergeCell ref="L20:M20"/>
    <mergeCell ref="L21:M21"/>
    <mergeCell ref="L22:M22"/>
    <mergeCell ref="B4:B15"/>
  </mergeCells>
  <conditionalFormatting sqref="F6:F7 G7:H7">
    <cfRule type="expression" dxfId="46" priority="3">
      <formula>$F$6=0</formula>
    </cfRule>
  </conditionalFormatting>
  <conditionalFormatting sqref="F8 F9:H9">
    <cfRule type="expression" dxfId="45" priority="1">
      <formula>$F$8=0</formula>
    </cfRule>
  </conditionalFormatting>
  <dataValidations disablePrompts="1" count="7">
    <dataValidation allowBlank="1" showInputMessage="1" showErrorMessage="1" prompt="If an average car fuel economy is unknown, use the baseline value provided in this spreadsheet. " sqref="E33" xr:uid="{65805852-6249-4FF7-B1D2-0EDA9CFDBF76}"/>
    <dataValidation allowBlank="1" showErrorMessage="1" sqref="E27" xr:uid="{B28BCF5E-F40E-4B17-820A-DCC4B2959ED7}"/>
    <dataValidation allowBlank="1" showInputMessage="1" showErrorMessage="1" prompt="Exclude occupants traveling by all-electric vehicles." sqref="E28" xr:uid="{8F33CBD6-3164-44C8-A92B-3466B326EF08}"/>
    <dataValidation type="whole" allowBlank="1" showInputMessage="1" showErrorMessage="1" error="Numerical input as whole number only. " sqref="F28" xr:uid="{42EC89D6-C5BE-46BE-AF44-E54C76241A50}">
      <formula1>0</formula1>
      <formula2>1000000000</formula2>
    </dataValidation>
    <dataValidation type="decimal" allowBlank="1" showInputMessage="1" showErrorMessage="1" error="Numerical input as a decimal number only. " sqref="F30:F31 F33" xr:uid="{7EE82314-C83B-42EF-8010-A6A7541A4EA7}">
      <formula1>0</formula1>
      <formula2>1000000000</formula2>
    </dataValidation>
    <dataValidation type="whole" allowBlank="1" showInputMessage="1" showErrorMessage="1" error="Numerical input as whole number only, between 0 and 100. " sqref="F19:F21" xr:uid="{95BCC15B-D32F-44DA-B2BB-FB9AAA90D548}">
      <formula1>0</formula1>
      <formula2>100</formula2>
    </dataValidation>
    <dataValidation type="decimal" allowBlank="1" showInputMessage="1" showErrorMessage="1" error="Numerical input as a decimal number only. " sqref="F32" xr:uid="{90A1A3D3-B75A-4795-8593-84E0D18332FF}">
      <formula1>0</formula1>
      <formula2>52</formula2>
    </dataValidation>
  </dataValidations>
  <hyperlinks>
    <hyperlink ref="U27" r:id="rId1" xr:uid="{34ED9091-8ACF-4E93-88D7-8A3BE15B026F}"/>
    <hyperlink ref="U29" r:id="rId2" xr:uid="{A27A0447-084A-407E-A29D-2AD067E96617}"/>
    <hyperlink ref="U26" r:id="rId3" location="burning" xr:uid="{F669140F-7477-4244-A032-12406A8A1B8A}"/>
    <hyperlink ref="U25" r:id="rId4" xr:uid="{E6E82AB3-1C4D-4212-99D5-D6A97EB35A57}"/>
    <hyperlink ref="R4" r:id="rId5" xr:uid="{66CF846C-6DAA-4F45-8CB7-DF5A17849A3F}"/>
    <hyperlink ref="R5" r:id="rId6" location=":~:text=As%20it%20stands%2C%20the%20official,public%20comments%20on%20that%20proposal.)" xr:uid="{E5ADD0F6-7F7B-4BA0-B696-824617262D85}"/>
  </hyperlinks>
  <pageMargins left="0.7" right="0.7" top="0.75" bottom="0.75" header="0" footer="0"/>
  <pageSetup orientation="portrait"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outlinePr summaryBelow="0" summaryRight="0"/>
  </sheetPr>
  <dimension ref="A1:AQ266"/>
  <sheetViews>
    <sheetView workbookViewId="0">
      <selection activeCell="E27" sqref="E27"/>
    </sheetView>
  </sheetViews>
  <sheetFormatPr defaultColWidth="14.453125" defaultRowHeight="15" customHeight="1" x14ac:dyDescent="0.3"/>
  <cols>
    <col min="1" max="1" width="4.08984375" style="743" customWidth="1"/>
    <col min="2" max="2" width="40.6328125" style="743" customWidth="1"/>
    <col min="3" max="3" width="3.453125" style="743" customWidth="1"/>
    <col min="4" max="4" width="3.6328125" style="743" customWidth="1"/>
    <col min="5" max="5" width="56.08984375" style="743" customWidth="1"/>
    <col min="6" max="6" width="12.6328125" style="804" customWidth="1"/>
    <col min="7" max="7" width="6.6328125" style="743" customWidth="1"/>
    <col min="8" max="8" width="12.6328125" style="804" customWidth="1"/>
    <col min="9" max="9" width="6.6328125" style="743" customWidth="1"/>
    <col min="10" max="10" width="3.6328125" style="743" customWidth="1"/>
    <col min="11" max="11" width="3.36328125" style="743" customWidth="1"/>
    <col min="12" max="12" width="30.36328125" style="743" customWidth="1"/>
    <col min="13" max="13" width="3.453125" style="743" customWidth="1"/>
    <col min="14" max="14" width="27.453125" style="743" customWidth="1"/>
    <col min="15" max="15" width="5.54296875" style="743" customWidth="1"/>
    <col min="16" max="16384" width="14.453125" style="743"/>
  </cols>
  <sheetData>
    <row r="1" spans="1:34" ht="21" x14ac:dyDescent="0.3">
      <c r="A1" s="805"/>
      <c r="B1" s="343" t="s">
        <v>893</v>
      </c>
      <c r="C1" s="805"/>
      <c r="D1" s="805"/>
      <c r="E1" s="805"/>
      <c r="F1" s="806"/>
      <c r="G1" s="807"/>
      <c r="H1" s="806"/>
      <c r="I1" s="807"/>
      <c r="J1" s="807"/>
      <c r="K1" s="807"/>
      <c r="L1" s="807"/>
      <c r="M1" s="807"/>
      <c r="N1" s="807"/>
      <c r="O1" s="1"/>
      <c r="P1" s="1"/>
      <c r="Q1" s="1"/>
      <c r="R1" s="1"/>
      <c r="S1" s="1"/>
      <c r="T1" s="1"/>
      <c r="U1" s="1"/>
      <c r="V1" s="1"/>
      <c r="W1" s="1"/>
      <c r="X1" s="1"/>
      <c r="Y1" s="1"/>
      <c r="Z1" s="1"/>
      <c r="AA1" s="1"/>
      <c r="AB1" s="1"/>
      <c r="AC1" s="1"/>
      <c r="AD1" s="1"/>
      <c r="AE1" s="1"/>
      <c r="AF1" s="1"/>
      <c r="AG1" s="1"/>
      <c r="AH1" s="1"/>
    </row>
    <row r="2" spans="1:34" ht="15" customHeight="1" x14ac:dyDescent="0.3">
      <c r="A2" s="1"/>
      <c r="B2" s="1"/>
      <c r="C2" s="1"/>
      <c r="D2" s="1"/>
      <c r="E2" s="1"/>
      <c r="F2" s="744"/>
      <c r="G2" s="1"/>
      <c r="H2" s="744"/>
      <c r="I2" s="1"/>
      <c r="J2" s="1"/>
      <c r="K2" s="1"/>
      <c r="L2" s="1"/>
      <c r="M2" s="1"/>
      <c r="N2" s="1"/>
      <c r="O2" s="1"/>
      <c r="P2" s="1"/>
      <c r="Q2" s="1"/>
      <c r="R2" s="1"/>
      <c r="S2" s="1"/>
      <c r="T2" s="1"/>
      <c r="U2" s="1"/>
      <c r="V2" s="1"/>
      <c r="W2" s="1"/>
      <c r="X2" s="1"/>
      <c r="Y2" s="1"/>
      <c r="Z2" s="1"/>
      <c r="AA2" s="1"/>
      <c r="AB2" s="1"/>
      <c r="AC2" s="1"/>
      <c r="AD2" s="1"/>
      <c r="AE2" s="1"/>
      <c r="AF2" s="1"/>
      <c r="AG2" s="1"/>
      <c r="AH2" s="1"/>
    </row>
    <row r="3" spans="1:34" s="748" customFormat="1" ht="15" customHeight="1" thickBot="1" x14ac:dyDescent="0.35">
      <c r="A3" s="745"/>
      <c r="B3" s="746" t="s">
        <v>71</v>
      </c>
      <c r="C3" s="745"/>
      <c r="D3" s="746" t="s">
        <v>683</v>
      </c>
      <c r="E3" s="746"/>
      <c r="F3" s="747"/>
      <c r="G3" s="745"/>
      <c r="H3" s="747"/>
      <c r="I3" s="745"/>
      <c r="J3" s="745"/>
      <c r="K3" s="745"/>
      <c r="L3" s="746" t="s">
        <v>118</v>
      </c>
      <c r="M3" s="745"/>
      <c r="N3" s="746" t="s">
        <v>119</v>
      </c>
      <c r="O3" s="745"/>
      <c r="P3" s="745"/>
      <c r="Q3" s="745"/>
      <c r="R3" s="745"/>
      <c r="S3" s="745"/>
      <c r="T3" s="745"/>
      <c r="U3" s="745"/>
      <c r="V3" s="745"/>
      <c r="W3" s="745"/>
      <c r="X3" s="745"/>
      <c r="Y3" s="745"/>
      <c r="Z3" s="745"/>
      <c r="AA3" s="745"/>
      <c r="AB3" s="745"/>
      <c r="AC3" s="745"/>
      <c r="AD3" s="745"/>
      <c r="AE3" s="745"/>
      <c r="AF3" s="745"/>
      <c r="AG3" s="745"/>
      <c r="AH3" s="745"/>
    </row>
    <row r="4" spans="1:34" s="752" customFormat="1" ht="15" customHeight="1" x14ac:dyDescent="0.3">
      <c r="A4" s="1"/>
      <c r="B4" s="1622" t="s">
        <v>1158</v>
      </c>
      <c r="C4" s="1"/>
      <c r="D4" s="1642" t="s">
        <v>1222</v>
      </c>
      <c r="E4" s="1643"/>
      <c r="F4" s="1643"/>
      <c r="G4" s="1643"/>
      <c r="H4" s="1643"/>
      <c r="I4" s="1643"/>
      <c r="J4" s="1644"/>
      <c r="K4" s="1"/>
      <c r="L4" s="1641" t="s">
        <v>185</v>
      </c>
      <c r="M4" s="1"/>
      <c r="N4" s="1639"/>
      <c r="O4" s="1"/>
      <c r="P4" s="1"/>
      <c r="Q4" s="1"/>
      <c r="R4" s="1"/>
      <c r="S4" s="1"/>
      <c r="T4" s="1"/>
      <c r="U4" s="1"/>
      <c r="V4" s="1"/>
      <c r="W4" s="1"/>
      <c r="X4" s="1"/>
      <c r="Y4" s="1"/>
      <c r="Z4" s="1"/>
      <c r="AA4" s="1"/>
      <c r="AB4" s="1"/>
      <c r="AC4" s="1"/>
      <c r="AD4" s="1"/>
      <c r="AE4" s="1"/>
      <c r="AF4" s="1"/>
      <c r="AG4" s="1"/>
      <c r="AH4" s="1"/>
    </row>
    <row r="5" spans="1:34" s="752" customFormat="1" ht="15" customHeight="1" x14ac:dyDescent="0.3">
      <c r="A5" s="1"/>
      <c r="B5" s="1622"/>
      <c r="C5" s="1"/>
      <c r="D5" s="1554"/>
      <c r="E5" s="809"/>
      <c r="F5" s="810"/>
      <c r="G5" s="809"/>
      <c r="H5" s="810"/>
      <c r="I5" s="809"/>
      <c r="J5" s="811"/>
      <c r="K5" s="1"/>
      <c r="L5" s="1639"/>
      <c r="M5" s="1"/>
      <c r="N5" s="1639"/>
      <c r="O5" s="1"/>
      <c r="P5" s="1"/>
      <c r="Q5" s="1"/>
      <c r="R5" s="1"/>
      <c r="S5" s="1"/>
      <c r="T5" s="1"/>
      <c r="U5" s="1"/>
      <c r="V5" s="1"/>
      <c r="W5" s="1"/>
      <c r="X5" s="1"/>
      <c r="Y5" s="1"/>
      <c r="Z5" s="1"/>
      <c r="AA5" s="1"/>
      <c r="AB5" s="1"/>
      <c r="AC5" s="1"/>
      <c r="AD5" s="1"/>
      <c r="AE5" s="1"/>
      <c r="AF5" s="1"/>
      <c r="AG5" s="1"/>
      <c r="AH5" s="1"/>
    </row>
    <row r="6" spans="1:34" ht="26" x14ac:dyDescent="0.3">
      <c r="A6" s="1"/>
      <c r="B6" s="1623"/>
      <c r="C6" s="1"/>
      <c r="D6" s="1555"/>
      <c r="E6" s="620" t="s">
        <v>1220</v>
      </c>
      <c r="F6" s="814" t="s">
        <v>186</v>
      </c>
      <c r="G6" s="819"/>
      <c r="H6" s="814" t="s">
        <v>187</v>
      </c>
      <c r="I6" s="947"/>
      <c r="J6" s="813"/>
      <c r="K6" s="1"/>
      <c r="L6" s="1639"/>
      <c r="M6" s="1"/>
      <c r="N6" s="1640"/>
      <c r="O6" s="1"/>
      <c r="P6" s="1"/>
      <c r="Q6" s="1"/>
      <c r="R6" s="1"/>
      <c r="S6" s="1"/>
      <c r="T6" s="1"/>
      <c r="U6" s="1"/>
      <c r="V6" s="1"/>
      <c r="W6" s="1"/>
      <c r="X6" s="1"/>
      <c r="Y6" s="1"/>
      <c r="Z6" s="1"/>
      <c r="AA6" s="1"/>
      <c r="AB6" s="1"/>
      <c r="AC6" s="1"/>
      <c r="AD6" s="1"/>
      <c r="AE6" s="1"/>
      <c r="AF6" s="1"/>
      <c r="AG6" s="1"/>
      <c r="AH6" s="1"/>
    </row>
    <row r="7" spans="1:34" ht="15" customHeight="1" x14ac:dyDescent="0.3">
      <c r="A7" s="1"/>
      <c r="B7" s="1623"/>
      <c r="C7" s="1"/>
      <c r="D7" s="759"/>
      <c r="E7" s="344" t="s">
        <v>277</v>
      </c>
      <c r="F7" s="478"/>
      <c r="G7" s="345" t="s">
        <v>22</v>
      </c>
      <c r="H7" s="478"/>
      <c r="I7" s="345" t="s">
        <v>22</v>
      </c>
      <c r="J7" s="813"/>
      <c r="K7" s="1"/>
      <c r="L7" s="1639"/>
      <c r="M7" s="1"/>
      <c r="N7" s="1640"/>
      <c r="O7" s="1"/>
      <c r="P7" s="1"/>
      <c r="Q7" s="1"/>
      <c r="R7" s="1"/>
      <c r="S7" s="1"/>
      <c r="T7" s="1"/>
      <c r="U7" s="1"/>
      <c r="V7" s="1"/>
      <c r="W7" s="1"/>
      <c r="X7" s="1"/>
      <c r="Y7" s="1"/>
      <c r="Z7" s="1"/>
      <c r="AA7" s="1"/>
      <c r="AB7" s="1"/>
      <c r="AC7" s="1"/>
      <c r="AD7" s="1"/>
      <c r="AE7" s="1"/>
      <c r="AF7" s="1"/>
      <c r="AG7" s="1"/>
      <c r="AH7" s="1"/>
    </row>
    <row r="8" spans="1:34" ht="15" customHeight="1" x14ac:dyDescent="0.3">
      <c r="A8" s="1"/>
      <c r="B8" s="1623"/>
      <c r="C8" s="1"/>
      <c r="D8" s="759"/>
      <c r="E8" s="1561" t="s">
        <v>1230</v>
      </c>
      <c r="F8" s="347"/>
      <c r="G8" s="1562" t="s">
        <v>22</v>
      </c>
      <c r="H8" s="347"/>
      <c r="I8" s="528" t="s">
        <v>22</v>
      </c>
      <c r="J8" s="813"/>
      <c r="K8" s="1"/>
      <c r="L8" s="1639"/>
      <c r="M8" s="1"/>
      <c r="N8" s="1640"/>
      <c r="O8" s="1"/>
      <c r="P8" s="1"/>
      <c r="Q8" s="1"/>
      <c r="R8" s="1"/>
      <c r="S8" s="1"/>
      <c r="T8" s="1"/>
      <c r="U8" s="1"/>
      <c r="V8" s="1"/>
      <c r="W8" s="1"/>
      <c r="X8" s="1"/>
      <c r="Y8" s="1"/>
      <c r="Z8" s="1"/>
      <c r="AA8" s="1"/>
      <c r="AB8" s="1"/>
      <c r="AC8" s="1"/>
      <c r="AD8" s="1"/>
      <c r="AE8" s="1"/>
      <c r="AF8" s="1"/>
      <c r="AG8" s="1"/>
      <c r="AH8" s="1"/>
    </row>
    <row r="9" spans="1:34" ht="15" customHeight="1" x14ac:dyDescent="0.3">
      <c r="A9" s="1"/>
      <c r="B9" s="1623"/>
      <c r="C9" s="1"/>
      <c r="D9" s="759"/>
      <c r="E9" s="344" t="s">
        <v>1231</v>
      </c>
      <c r="F9" s="986">
        <f>SUM(F7:F8)</f>
        <v>0</v>
      </c>
      <c r="G9" s="345" t="s">
        <v>22</v>
      </c>
      <c r="H9" s="986">
        <f>SUM(H7:H8)</f>
        <v>0</v>
      </c>
      <c r="I9" s="345" t="s">
        <v>22</v>
      </c>
      <c r="J9" s="813"/>
      <c r="K9" s="1"/>
      <c r="L9" s="1639"/>
      <c r="M9" s="1"/>
      <c r="N9" s="1640"/>
      <c r="O9" s="1"/>
      <c r="P9" s="1"/>
      <c r="Q9" s="1"/>
      <c r="R9" s="1"/>
      <c r="S9" s="1"/>
      <c r="T9" s="1"/>
      <c r="U9" s="1"/>
      <c r="V9" s="1"/>
      <c r="W9" s="1"/>
      <c r="X9" s="1"/>
      <c r="Y9" s="1"/>
      <c r="Z9" s="1"/>
      <c r="AA9" s="1"/>
      <c r="AB9" s="1"/>
      <c r="AC9" s="1"/>
      <c r="AD9" s="1"/>
      <c r="AE9" s="1"/>
      <c r="AF9" s="1"/>
      <c r="AG9" s="1"/>
      <c r="AH9" s="1"/>
    </row>
    <row r="10" spans="1:34" ht="15" customHeight="1" x14ac:dyDescent="0.3">
      <c r="A10" s="1"/>
      <c r="B10" s="1623"/>
      <c r="C10" s="1"/>
      <c r="D10" s="759"/>
      <c r="E10" s="620" t="s">
        <v>1221</v>
      </c>
      <c r="F10" s="1118"/>
      <c r="G10" s="1118"/>
      <c r="H10" s="1118"/>
      <c r="I10" s="1118"/>
      <c r="J10" s="813"/>
      <c r="K10" s="1"/>
      <c r="L10" s="1639"/>
      <c r="M10" s="1"/>
      <c r="N10" s="1640"/>
      <c r="O10" s="1"/>
      <c r="P10" s="1"/>
      <c r="Q10" s="1"/>
      <c r="R10" s="1"/>
      <c r="S10" s="1"/>
      <c r="T10" s="1"/>
      <c r="U10" s="1"/>
      <c r="V10" s="1"/>
      <c r="W10" s="1"/>
      <c r="X10" s="1"/>
      <c r="Y10" s="1"/>
      <c r="Z10" s="1"/>
      <c r="AA10" s="1"/>
      <c r="AB10" s="1"/>
      <c r="AC10" s="1"/>
      <c r="AD10" s="1"/>
      <c r="AE10" s="1"/>
      <c r="AF10" s="1"/>
      <c r="AG10" s="1"/>
      <c r="AH10" s="1"/>
    </row>
    <row r="11" spans="1:34" ht="15" customHeight="1" x14ac:dyDescent="0.3">
      <c r="A11" s="1"/>
      <c r="B11" s="1623"/>
      <c r="C11" s="1"/>
      <c r="D11" s="759"/>
      <c r="E11" s="344" t="s">
        <v>1223</v>
      </c>
      <c r="F11" s="478"/>
      <c r="G11" s="345" t="s">
        <v>22</v>
      </c>
      <c r="H11" s="478"/>
      <c r="I11" s="345" t="s">
        <v>22</v>
      </c>
      <c r="J11" s="813"/>
      <c r="K11" s="1"/>
      <c r="L11" s="1639"/>
      <c r="M11" s="1"/>
      <c r="N11" s="1640"/>
      <c r="O11" s="1"/>
      <c r="P11" s="1"/>
      <c r="Q11" s="1"/>
      <c r="R11" s="1"/>
      <c r="S11" s="1"/>
      <c r="T11" s="1"/>
      <c r="U11" s="1"/>
      <c r="V11" s="1"/>
      <c r="W11" s="1"/>
      <c r="X11" s="1"/>
      <c r="Y11" s="1"/>
      <c r="Z11" s="1"/>
      <c r="AA11" s="1"/>
      <c r="AB11" s="1"/>
      <c r="AC11" s="1"/>
      <c r="AD11" s="1"/>
      <c r="AE11" s="1"/>
      <c r="AF11" s="1"/>
      <c r="AG11" s="1"/>
      <c r="AH11" s="1"/>
    </row>
    <row r="12" spans="1:34" ht="15" customHeight="1" x14ac:dyDescent="0.3">
      <c r="A12" s="1"/>
      <c r="B12" s="1623"/>
      <c r="C12" s="1"/>
      <c r="D12" s="759"/>
      <c r="E12" s="344" t="s">
        <v>1224</v>
      </c>
      <c r="F12" s="347"/>
      <c r="G12" s="345" t="s">
        <v>22</v>
      </c>
      <c r="H12" s="347"/>
      <c r="I12" s="345" t="s">
        <v>22</v>
      </c>
      <c r="J12" s="813"/>
      <c r="K12" s="1"/>
      <c r="L12" s="1639"/>
      <c r="M12" s="1"/>
      <c r="N12" s="1640"/>
      <c r="O12" s="1"/>
      <c r="P12" s="1"/>
      <c r="Q12" s="1"/>
      <c r="R12" s="1"/>
      <c r="S12" s="1"/>
      <c r="T12" s="1"/>
      <c r="U12" s="1"/>
      <c r="V12" s="1"/>
      <c r="W12" s="1"/>
      <c r="X12" s="1"/>
      <c r="Y12" s="1"/>
      <c r="Z12" s="1"/>
      <c r="AA12" s="1"/>
      <c r="AB12" s="1"/>
      <c r="AC12" s="1"/>
      <c r="AD12" s="1"/>
      <c r="AE12" s="1"/>
      <c r="AF12" s="1"/>
      <c r="AG12" s="1"/>
      <c r="AH12" s="1"/>
    </row>
    <row r="13" spans="1:34" ht="15" customHeight="1" x14ac:dyDescent="0.3">
      <c r="A13" s="1"/>
      <c r="B13" s="1623"/>
      <c r="C13" s="1"/>
      <c r="D13" s="759"/>
      <c r="E13" s="344" t="s">
        <v>994</v>
      </c>
      <c r="F13" s="347"/>
      <c r="G13" s="345" t="s">
        <v>22</v>
      </c>
      <c r="H13" s="347"/>
      <c r="I13" s="345" t="s">
        <v>22</v>
      </c>
      <c r="J13" s="813"/>
      <c r="K13" s="1"/>
      <c r="L13" s="1639"/>
      <c r="M13" s="1"/>
      <c r="N13" s="1640"/>
      <c r="O13" s="1"/>
      <c r="P13" s="1"/>
      <c r="Q13" s="1"/>
      <c r="R13" s="1"/>
      <c r="S13" s="1"/>
      <c r="T13" s="1"/>
      <c r="U13" s="1"/>
      <c r="V13" s="1"/>
      <c r="W13" s="1"/>
      <c r="X13" s="1"/>
      <c r="Y13" s="1"/>
      <c r="Z13" s="1"/>
      <c r="AA13" s="1"/>
      <c r="AB13" s="1"/>
      <c r="AC13" s="1"/>
      <c r="AD13" s="1"/>
      <c r="AE13" s="1"/>
      <c r="AF13" s="1"/>
      <c r="AG13" s="1"/>
      <c r="AH13" s="1"/>
    </row>
    <row r="14" spans="1:34" ht="15" customHeight="1" x14ac:dyDescent="0.3">
      <c r="A14" s="1"/>
      <c r="B14" s="1623"/>
      <c r="C14" s="1"/>
      <c r="D14" s="759"/>
      <c r="E14" s="344" t="s">
        <v>1225</v>
      </c>
      <c r="F14" s="347"/>
      <c r="G14" s="345" t="s">
        <v>22</v>
      </c>
      <c r="H14" s="347"/>
      <c r="I14" s="345" t="s">
        <v>22</v>
      </c>
      <c r="J14" s="813"/>
      <c r="K14" s="1"/>
      <c r="L14" s="1639"/>
      <c r="M14" s="1"/>
      <c r="N14" s="1640"/>
      <c r="P14" s="815"/>
      <c r="Q14" s="1"/>
      <c r="R14" s="1"/>
      <c r="S14" s="1"/>
      <c r="T14" s="1"/>
      <c r="U14" s="1"/>
      <c r="V14" s="1"/>
      <c r="W14" s="1"/>
      <c r="X14" s="1"/>
      <c r="Y14" s="1"/>
      <c r="Z14" s="1"/>
      <c r="AA14" s="1"/>
      <c r="AB14" s="1"/>
      <c r="AC14" s="1"/>
      <c r="AD14" s="1"/>
      <c r="AE14" s="1"/>
      <c r="AF14" s="1"/>
      <c r="AG14" s="1"/>
      <c r="AH14" s="1"/>
    </row>
    <row r="15" spans="1:34" ht="15" customHeight="1" x14ac:dyDescent="0.3">
      <c r="A15" s="1"/>
      <c r="B15" s="1623"/>
      <c r="C15" s="1"/>
      <c r="D15" s="759"/>
      <c r="E15" s="1531" t="s">
        <v>332</v>
      </c>
      <c r="F15" s="347"/>
      <c r="G15" s="1562" t="s">
        <v>22</v>
      </c>
      <c r="H15" s="347"/>
      <c r="I15" s="528" t="s">
        <v>22</v>
      </c>
      <c r="J15" s="813"/>
      <c r="K15" s="1"/>
      <c r="L15" s="1639"/>
      <c r="M15" s="1"/>
      <c r="N15" s="1640"/>
      <c r="P15" s="815"/>
      <c r="Q15" s="1"/>
      <c r="R15" s="1"/>
      <c r="S15" s="1"/>
      <c r="T15" s="1"/>
      <c r="U15" s="1"/>
      <c r="V15" s="1"/>
      <c r="W15" s="1"/>
      <c r="X15" s="1"/>
      <c r="Y15" s="1"/>
      <c r="Z15" s="1"/>
      <c r="AA15" s="1"/>
      <c r="AB15" s="1"/>
      <c r="AC15" s="1"/>
      <c r="AD15" s="1"/>
      <c r="AE15" s="1"/>
      <c r="AF15" s="1"/>
      <c r="AG15" s="1"/>
      <c r="AH15" s="1"/>
    </row>
    <row r="16" spans="1:34" ht="15" customHeight="1" x14ac:dyDescent="0.3">
      <c r="A16" s="1"/>
      <c r="B16" s="1623"/>
      <c r="C16" s="1"/>
      <c r="D16" s="759"/>
      <c r="E16" s="344" t="s">
        <v>1232</v>
      </c>
      <c r="F16" s="986">
        <f>SUM(F11:F15)</f>
        <v>0</v>
      </c>
      <c r="G16" s="345" t="s">
        <v>22</v>
      </c>
      <c r="H16" s="986">
        <f>SUM(H11:H15)</f>
        <v>0</v>
      </c>
      <c r="I16" s="345" t="s">
        <v>22</v>
      </c>
      <c r="J16" s="813"/>
      <c r="K16" s="1"/>
      <c r="L16" s="1639"/>
      <c r="M16" s="1"/>
      <c r="N16" s="1640"/>
      <c r="P16" s="815"/>
      <c r="Q16" s="1"/>
      <c r="R16" s="1"/>
      <c r="S16" s="1"/>
      <c r="T16" s="1"/>
      <c r="U16" s="1"/>
      <c r="V16" s="1"/>
      <c r="W16" s="1"/>
      <c r="X16" s="1"/>
      <c r="Y16" s="1"/>
      <c r="Z16" s="1"/>
      <c r="AA16" s="1"/>
      <c r="AB16" s="1"/>
      <c r="AC16" s="1"/>
      <c r="AD16" s="1"/>
      <c r="AE16" s="1"/>
      <c r="AF16" s="1"/>
      <c r="AG16" s="1"/>
      <c r="AH16" s="1"/>
    </row>
    <row r="17" spans="1:34" ht="15" customHeight="1" x14ac:dyDescent="0.3">
      <c r="A17" s="1"/>
      <c r="B17" s="1623"/>
      <c r="C17" s="1"/>
      <c r="D17" s="759"/>
      <c r="E17" s="1563"/>
      <c r="F17" s="986"/>
      <c r="G17" s="345"/>
      <c r="H17" s="986"/>
      <c r="I17" s="345"/>
      <c r="J17" s="813"/>
      <c r="K17" s="1"/>
      <c r="L17" s="1639"/>
      <c r="M17" s="1"/>
      <c r="N17" s="1640"/>
      <c r="P17" s="815"/>
      <c r="Q17" s="1"/>
      <c r="R17" s="1"/>
      <c r="S17" s="1"/>
      <c r="T17" s="1"/>
      <c r="U17" s="1"/>
      <c r="V17" s="1"/>
      <c r="W17" s="1"/>
      <c r="X17" s="1"/>
      <c r="Y17" s="1"/>
      <c r="Z17" s="1"/>
      <c r="AA17" s="1"/>
      <c r="AB17" s="1"/>
      <c r="AC17" s="1"/>
      <c r="AD17" s="1"/>
      <c r="AE17" s="1"/>
      <c r="AF17" s="1"/>
      <c r="AG17" s="1"/>
      <c r="AH17" s="1"/>
    </row>
    <row r="18" spans="1:34" ht="15" customHeight="1" x14ac:dyDescent="0.3">
      <c r="A18" s="1"/>
      <c r="B18" s="1623"/>
      <c r="C18" s="1"/>
      <c r="D18" s="759"/>
      <c r="E18" s="1556" t="s">
        <v>1198</v>
      </c>
      <c r="F18" s="760">
        <f>Area_Hardscape_Total_Post_Development+Area_Vegetated_Post_Development</f>
        <v>0</v>
      </c>
      <c r="G18" s="345" t="s">
        <v>22</v>
      </c>
      <c r="H18" s="760">
        <f>Area_Hardscape_Total_Pre_Development+Area_Vegetated_Pre_Development</f>
        <v>0</v>
      </c>
      <c r="I18" s="345" t="s">
        <v>22</v>
      </c>
      <c r="J18" s="813"/>
      <c r="K18" s="1"/>
      <c r="L18" s="1639"/>
      <c r="M18" s="1"/>
      <c r="N18" s="1640"/>
      <c r="O18" s="1"/>
      <c r="P18" s="1"/>
      <c r="Q18" s="1"/>
      <c r="R18" s="1"/>
      <c r="S18" s="1"/>
      <c r="T18" s="1"/>
      <c r="U18" s="1"/>
      <c r="V18" s="1"/>
      <c r="W18" s="1"/>
      <c r="X18" s="1"/>
      <c r="Y18" s="1"/>
      <c r="Z18" s="1"/>
      <c r="AA18" s="1"/>
      <c r="AB18" s="1"/>
      <c r="AC18" s="1"/>
      <c r="AD18" s="1"/>
      <c r="AE18" s="1"/>
      <c r="AF18" s="1"/>
      <c r="AG18" s="1"/>
      <c r="AH18" s="1"/>
    </row>
    <row r="19" spans="1:34" ht="15" customHeight="1" x14ac:dyDescent="0.3">
      <c r="A19" s="1"/>
      <c r="B19" s="1623"/>
      <c r="C19" s="1"/>
      <c r="D19" s="759"/>
      <c r="E19" s="344" t="s">
        <v>1199</v>
      </c>
      <c r="F19" s="309">
        <f>Area_Site</f>
        <v>0</v>
      </c>
      <c r="G19" s="345" t="s">
        <v>22</v>
      </c>
      <c r="H19" s="309">
        <f>Area_Site</f>
        <v>0</v>
      </c>
      <c r="I19" s="345" t="s">
        <v>22</v>
      </c>
      <c r="J19" s="813"/>
      <c r="K19" s="1"/>
      <c r="L19" s="1639"/>
      <c r="M19" s="1"/>
      <c r="N19" s="1640"/>
      <c r="O19" s="1"/>
      <c r="P19" s="1"/>
      <c r="Q19" s="1"/>
      <c r="R19" s="1"/>
      <c r="S19" s="1"/>
      <c r="T19" s="1"/>
      <c r="U19" s="1"/>
      <c r="V19" s="1"/>
      <c r="W19" s="1"/>
      <c r="X19" s="1"/>
      <c r="Y19" s="1"/>
      <c r="Z19" s="1"/>
      <c r="AA19" s="1"/>
      <c r="AB19" s="1"/>
      <c r="AC19" s="1"/>
      <c r="AD19" s="1"/>
      <c r="AE19" s="1"/>
      <c r="AF19" s="1"/>
      <c r="AG19" s="1"/>
      <c r="AH19" s="1"/>
    </row>
    <row r="20" spans="1:34" ht="15" customHeight="1" thickBot="1" x14ac:dyDescent="0.35">
      <c r="A20" s="1"/>
      <c r="B20" s="1623"/>
      <c r="C20" s="1"/>
      <c r="D20" s="759"/>
      <c r="E20" s="1557" t="s">
        <v>1200</v>
      </c>
      <c r="F20" s="309"/>
      <c r="G20" s="345"/>
      <c r="H20" s="309"/>
      <c r="I20" s="345"/>
      <c r="J20" s="817"/>
      <c r="K20" s="1"/>
      <c r="L20" s="1639"/>
      <c r="M20" s="1"/>
      <c r="N20" s="1640"/>
      <c r="O20" s="1"/>
      <c r="P20" s="1"/>
      <c r="Q20" s="1"/>
      <c r="R20" s="1"/>
      <c r="S20" s="1"/>
      <c r="T20" s="1"/>
      <c r="U20" s="1"/>
      <c r="V20" s="1"/>
      <c r="W20" s="1"/>
      <c r="X20" s="1"/>
      <c r="Y20" s="1"/>
      <c r="Z20" s="1"/>
      <c r="AA20" s="1"/>
      <c r="AB20" s="1"/>
      <c r="AC20" s="1"/>
      <c r="AD20" s="1"/>
      <c r="AE20" s="1"/>
      <c r="AF20" s="1"/>
      <c r="AG20" s="1"/>
      <c r="AH20" s="1"/>
    </row>
    <row r="21" spans="1:34" ht="15" customHeight="1" thickBot="1" x14ac:dyDescent="0.35">
      <c r="A21" s="1"/>
      <c r="B21" s="1623"/>
      <c r="C21" s="1"/>
      <c r="D21" s="759"/>
      <c r="E21" s="816" t="s">
        <v>946</v>
      </c>
      <c r="F21" s="1558">
        <f>IFERROR(Area_Softscape_Total_Post_Development/Area_Site,0)</f>
        <v>0</v>
      </c>
      <c r="G21" s="812"/>
      <c r="H21" s="1558">
        <f>IFERROR(Area_Softscape_Total_Pre_Development/Area_Site,0)</f>
        <v>0</v>
      </c>
      <c r="I21" s="11"/>
      <c r="J21" s="813"/>
      <c r="K21" s="1"/>
      <c r="L21" s="1639"/>
      <c r="M21" s="1"/>
      <c r="N21" s="1640"/>
      <c r="O21" s="1"/>
      <c r="P21" s="815"/>
      <c r="Q21" s="1"/>
      <c r="R21" s="1"/>
      <c r="S21" s="1"/>
      <c r="T21" s="1"/>
      <c r="U21" s="1"/>
      <c r="V21" s="1"/>
      <c r="W21" s="1"/>
      <c r="X21" s="1"/>
      <c r="Y21" s="1"/>
      <c r="Z21" s="1"/>
      <c r="AA21" s="1"/>
      <c r="AB21" s="1"/>
      <c r="AC21" s="1"/>
      <c r="AD21" s="1"/>
      <c r="AE21" s="1"/>
      <c r="AF21" s="1"/>
      <c r="AG21" s="1"/>
      <c r="AH21" s="1"/>
    </row>
    <row r="22" spans="1:34" ht="15" customHeight="1" thickBot="1" x14ac:dyDescent="0.35">
      <c r="A22" s="1"/>
      <c r="B22" s="1623"/>
      <c r="C22" s="1"/>
      <c r="D22" s="759"/>
      <c r="E22" s="816" t="s">
        <v>1041</v>
      </c>
      <c r="F22" s="346">
        <f>IFERROR(Percent_Vegetated_Post_Development-Percent_Vegetated_Pre_Development,"")</f>
        <v>0</v>
      </c>
      <c r="G22" s="812"/>
      <c r="H22" s="12"/>
      <c r="I22" s="11"/>
      <c r="J22" s="813"/>
      <c r="K22" s="1"/>
      <c r="L22" s="1639"/>
      <c r="M22" s="1"/>
      <c r="N22" s="1640"/>
      <c r="O22" s="1"/>
      <c r="P22" s="1"/>
      <c r="Q22" s="1"/>
      <c r="R22" s="1"/>
      <c r="S22" s="1"/>
      <c r="T22" s="1"/>
      <c r="U22" s="1"/>
      <c r="V22" s="1"/>
      <c r="W22" s="1"/>
      <c r="X22" s="1"/>
      <c r="Y22" s="1"/>
      <c r="Z22" s="1"/>
      <c r="AA22" s="1"/>
      <c r="AB22" s="1"/>
      <c r="AC22" s="1"/>
      <c r="AD22" s="1"/>
      <c r="AE22" s="1"/>
      <c r="AF22" s="1"/>
      <c r="AG22" s="1"/>
      <c r="AH22" s="1"/>
    </row>
    <row r="23" spans="1:34" ht="15" customHeight="1" x14ac:dyDescent="0.3">
      <c r="A23" s="1"/>
      <c r="B23" s="1623"/>
      <c r="C23" s="1"/>
      <c r="D23" s="1559"/>
      <c r="E23" s="818"/>
      <c r="F23" s="819"/>
      <c r="G23" s="818"/>
      <c r="H23" s="819"/>
      <c r="I23" s="818"/>
      <c r="J23" s="1560"/>
      <c r="K23" s="1"/>
      <c r="L23" s="1639"/>
      <c r="M23" s="1"/>
      <c r="N23" s="1640"/>
      <c r="O23" s="1"/>
      <c r="P23" s="1"/>
      <c r="Q23" s="1"/>
      <c r="R23" s="1"/>
      <c r="S23" s="1"/>
      <c r="T23" s="1"/>
      <c r="U23" s="1"/>
      <c r="V23" s="1"/>
      <c r="W23" s="1"/>
      <c r="X23" s="1"/>
      <c r="Y23" s="1"/>
      <c r="Z23" s="1"/>
      <c r="AA23" s="1"/>
      <c r="AB23" s="1"/>
      <c r="AC23" s="1"/>
      <c r="AD23" s="1"/>
      <c r="AE23" s="1"/>
      <c r="AF23" s="1"/>
      <c r="AG23" s="1"/>
      <c r="AH23" s="1"/>
    </row>
    <row r="24" spans="1:34" ht="15" customHeight="1" x14ac:dyDescent="0.3">
      <c r="A24" s="1"/>
      <c r="B24" s="1"/>
      <c r="C24" s="1"/>
      <c r="D24" s="8"/>
      <c r="E24" s="8"/>
      <c r="F24" s="64"/>
      <c r="G24" s="8"/>
      <c r="H24" s="64"/>
      <c r="I24" s="8"/>
      <c r="J24" s="8"/>
      <c r="K24" s="1"/>
      <c r="L24" s="1"/>
      <c r="M24" s="1"/>
      <c r="N24" s="1"/>
      <c r="O24" s="1"/>
      <c r="P24" s="1"/>
      <c r="Q24" s="1"/>
      <c r="R24" s="1"/>
      <c r="S24" s="1"/>
      <c r="T24" s="1"/>
      <c r="U24" s="1"/>
      <c r="V24" s="1"/>
      <c r="W24" s="1"/>
      <c r="X24" s="1"/>
      <c r="Y24" s="1"/>
      <c r="Z24" s="1"/>
      <c r="AA24" s="1"/>
      <c r="AB24" s="1"/>
      <c r="AC24" s="1"/>
      <c r="AD24" s="1"/>
      <c r="AE24" s="1"/>
      <c r="AF24" s="1"/>
      <c r="AG24" s="1"/>
      <c r="AH24" s="1"/>
    </row>
    <row r="25" spans="1:34" ht="15" customHeight="1" x14ac:dyDescent="0.3">
      <c r="A25" s="1"/>
      <c r="B25" s="1622" t="s">
        <v>1187</v>
      </c>
      <c r="C25" s="1"/>
      <c r="D25" s="1636" t="s">
        <v>1054</v>
      </c>
      <c r="E25" s="1637"/>
      <c r="F25" s="1637"/>
      <c r="G25" s="1637"/>
      <c r="H25" s="1637"/>
      <c r="I25" s="1637"/>
      <c r="J25" s="1638"/>
      <c r="K25" s="1"/>
      <c r="L25" s="1639" t="s">
        <v>188</v>
      </c>
      <c r="M25" s="1"/>
      <c r="N25" s="1639"/>
      <c r="O25" s="1"/>
      <c r="P25" s="1"/>
      <c r="Q25" s="1"/>
      <c r="R25" s="1"/>
      <c r="S25" s="1"/>
      <c r="T25" s="1"/>
      <c r="U25" s="1"/>
      <c r="V25" s="1"/>
      <c r="W25" s="1"/>
      <c r="X25" s="1"/>
      <c r="Y25" s="1"/>
      <c r="Z25" s="1"/>
      <c r="AA25" s="1"/>
      <c r="AB25" s="1"/>
      <c r="AC25" s="1"/>
      <c r="AD25" s="1"/>
      <c r="AE25" s="1"/>
      <c r="AF25" s="1"/>
      <c r="AG25" s="1"/>
      <c r="AH25" s="1"/>
    </row>
    <row r="26" spans="1:34" ht="15" customHeight="1" x14ac:dyDescent="0.3">
      <c r="A26" s="1"/>
      <c r="B26" s="1623"/>
      <c r="C26" s="1"/>
      <c r="D26" s="820"/>
      <c r="E26" s="821"/>
      <c r="F26" s="821"/>
      <c r="G26" s="822"/>
      <c r="H26" s="821"/>
      <c r="I26" s="821"/>
      <c r="J26" s="823"/>
      <c r="K26" s="1"/>
      <c r="L26" s="1639"/>
      <c r="M26" s="1"/>
      <c r="N26" s="1640"/>
      <c r="O26" s="1"/>
      <c r="P26" s="1"/>
      <c r="Q26" s="1"/>
      <c r="R26" s="1"/>
      <c r="S26" s="1"/>
      <c r="T26" s="1"/>
      <c r="U26" s="1"/>
      <c r="V26" s="1"/>
      <c r="W26" s="1"/>
      <c r="X26" s="1"/>
      <c r="Y26" s="1"/>
      <c r="Z26" s="1"/>
      <c r="AA26" s="1"/>
      <c r="AB26" s="1"/>
      <c r="AC26" s="1"/>
      <c r="AD26" s="1"/>
      <c r="AE26" s="1"/>
      <c r="AF26" s="1"/>
      <c r="AG26" s="1"/>
      <c r="AH26" s="1"/>
    </row>
    <row r="27" spans="1:34" ht="15" customHeight="1" x14ac:dyDescent="0.3">
      <c r="A27" s="1"/>
      <c r="B27" s="1623"/>
      <c r="C27" s="1"/>
      <c r="D27" s="824"/>
      <c r="E27" s="825" t="s">
        <v>1074</v>
      </c>
      <c r="F27" s="347"/>
      <c r="G27" s="826" t="s">
        <v>687</v>
      </c>
      <c r="H27" s="821"/>
      <c r="I27" s="821"/>
      <c r="J27" s="813"/>
      <c r="K27" s="1"/>
      <c r="L27" s="1639"/>
      <c r="M27" s="1"/>
      <c r="N27" s="1640"/>
      <c r="O27" s="1"/>
      <c r="P27" s="1"/>
      <c r="Q27" s="1"/>
      <c r="R27" s="1"/>
      <c r="S27" s="1"/>
      <c r="T27" s="1"/>
      <c r="U27" s="1"/>
      <c r="V27" s="1"/>
      <c r="W27" s="1"/>
      <c r="X27" s="1"/>
      <c r="Y27" s="1"/>
      <c r="Z27" s="1"/>
      <c r="AA27" s="1"/>
      <c r="AB27" s="1"/>
      <c r="AC27" s="1"/>
      <c r="AD27" s="1"/>
      <c r="AE27" s="1"/>
      <c r="AF27" s="1"/>
      <c r="AG27" s="1"/>
      <c r="AH27" s="1"/>
    </row>
    <row r="28" spans="1:34" ht="15" customHeight="1" x14ac:dyDescent="0.3">
      <c r="A28" s="1"/>
      <c r="B28" s="1623"/>
      <c r="C28" s="1"/>
      <c r="D28" s="759"/>
      <c r="E28" s="821"/>
      <c r="F28" s="821"/>
      <c r="G28" s="827"/>
      <c r="H28" s="821"/>
      <c r="I28" s="821"/>
      <c r="J28" s="813"/>
      <c r="K28" s="1"/>
      <c r="L28" s="1639"/>
      <c r="M28" s="1"/>
      <c r="N28" s="1640"/>
      <c r="O28" s="1"/>
      <c r="P28" s="1"/>
      <c r="Q28" s="1"/>
      <c r="R28" s="1"/>
      <c r="S28" s="1"/>
      <c r="T28" s="1"/>
      <c r="U28" s="1"/>
      <c r="V28" s="1"/>
      <c r="W28" s="1"/>
      <c r="X28" s="1"/>
      <c r="Y28" s="1"/>
      <c r="Z28" s="1"/>
      <c r="AA28" s="1"/>
      <c r="AB28" s="1"/>
      <c r="AC28" s="1"/>
      <c r="AD28" s="1"/>
      <c r="AE28" s="1"/>
      <c r="AF28" s="1"/>
      <c r="AG28" s="1"/>
      <c r="AH28" s="1"/>
    </row>
    <row r="29" spans="1:34" ht="26" x14ac:dyDescent="0.3">
      <c r="A29" s="1"/>
      <c r="B29" s="1623"/>
      <c r="C29" s="1"/>
      <c r="D29" s="759"/>
      <c r="E29" s="828" t="s">
        <v>1055</v>
      </c>
      <c r="F29" s="829" t="s">
        <v>186</v>
      </c>
      <c r="G29" s="827"/>
      <c r="H29" s="829" t="s">
        <v>187</v>
      </c>
      <c r="I29" s="821"/>
      <c r="J29" s="813"/>
      <c r="K29" s="1"/>
      <c r="L29" s="1639"/>
      <c r="M29" s="1"/>
      <c r="N29" s="1640"/>
      <c r="O29" s="1"/>
      <c r="P29" s="1"/>
      <c r="Q29" s="1"/>
      <c r="R29" s="1"/>
      <c r="S29" s="1"/>
      <c r="T29" s="1"/>
      <c r="U29" s="1"/>
      <c r="V29" s="1"/>
      <c r="W29" s="1"/>
      <c r="X29" s="1"/>
      <c r="Y29" s="1"/>
      <c r="Z29" s="1"/>
      <c r="AA29" s="1"/>
      <c r="AB29" s="1"/>
      <c r="AC29" s="1"/>
      <c r="AD29" s="1"/>
      <c r="AE29" s="1"/>
      <c r="AF29" s="1"/>
      <c r="AG29" s="1"/>
      <c r="AH29" s="1"/>
    </row>
    <row r="30" spans="1:34" ht="15" customHeight="1" x14ac:dyDescent="0.3">
      <c r="A30" s="1"/>
      <c r="B30" s="1623"/>
      <c r="C30" s="1"/>
      <c r="D30" s="759"/>
      <c r="E30" s="830" t="s">
        <v>995</v>
      </c>
      <c r="F30" s="347"/>
      <c r="G30" s="827" t="s">
        <v>22</v>
      </c>
      <c r="H30" s="347"/>
      <c r="I30" s="827" t="s">
        <v>22</v>
      </c>
      <c r="J30" s="813"/>
      <c r="K30" s="1"/>
      <c r="L30" s="1639"/>
      <c r="M30" s="1"/>
      <c r="N30" s="1640"/>
      <c r="O30" s="1"/>
      <c r="P30" s="1"/>
      <c r="Q30" s="1"/>
      <c r="R30" s="1"/>
      <c r="S30" s="1"/>
      <c r="T30" s="1"/>
      <c r="U30" s="1"/>
      <c r="V30" s="1"/>
      <c r="W30" s="1"/>
      <c r="X30" s="1"/>
      <c r="Y30" s="1"/>
      <c r="Z30" s="1"/>
      <c r="AA30" s="1"/>
      <c r="AB30" s="1"/>
      <c r="AC30" s="1"/>
      <c r="AD30" s="1"/>
      <c r="AE30" s="1"/>
      <c r="AF30" s="1"/>
      <c r="AG30" s="1"/>
      <c r="AH30" s="1"/>
    </row>
    <row r="31" spans="1:34" ht="15" customHeight="1" x14ac:dyDescent="0.3">
      <c r="A31" s="1"/>
      <c r="B31" s="1623"/>
      <c r="C31" s="1"/>
      <c r="D31" s="759"/>
      <c r="E31" s="830" t="s">
        <v>996</v>
      </c>
      <c r="F31" s="347"/>
      <c r="G31" s="827" t="s">
        <v>22</v>
      </c>
      <c r="H31" s="347"/>
      <c r="I31" s="827" t="s">
        <v>22</v>
      </c>
      <c r="J31" s="813"/>
      <c r="K31" s="1"/>
      <c r="L31" s="1639"/>
      <c r="M31" s="1"/>
      <c r="N31" s="1640"/>
      <c r="O31" s="1"/>
      <c r="P31" s="1"/>
      <c r="Q31" s="1"/>
      <c r="R31" s="1"/>
      <c r="S31" s="1"/>
      <c r="T31" s="1"/>
      <c r="U31" s="1"/>
      <c r="V31" s="1"/>
      <c r="W31" s="1"/>
      <c r="X31" s="1"/>
      <c r="Y31" s="1"/>
      <c r="Z31" s="1"/>
      <c r="AA31" s="1"/>
      <c r="AB31" s="1"/>
      <c r="AC31" s="1"/>
      <c r="AD31" s="1"/>
      <c r="AE31" s="1"/>
      <c r="AF31" s="1"/>
      <c r="AG31" s="1"/>
      <c r="AH31" s="1"/>
    </row>
    <row r="32" spans="1:34" ht="15" customHeight="1" x14ac:dyDescent="0.3">
      <c r="A32" s="1"/>
      <c r="B32" s="1623"/>
      <c r="C32" s="1"/>
      <c r="D32" s="759"/>
      <c r="E32" s="530" t="s">
        <v>997</v>
      </c>
      <c r="F32" s="347"/>
      <c r="G32" s="827" t="s">
        <v>22</v>
      </c>
      <c r="H32" s="347"/>
      <c r="I32" s="827" t="s">
        <v>22</v>
      </c>
      <c r="J32" s="813"/>
      <c r="K32" s="1"/>
      <c r="L32" s="1639"/>
      <c r="M32" s="1"/>
      <c r="N32" s="1640"/>
      <c r="O32" s="1"/>
      <c r="P32" s="1"/>
      <c r="Q32" s="1"/>
      <c r="R32" s="1"/>
      <c r="S32" s="1"/>
      <c r="T32" s="1"/>
      <c r="U32" s="1"/>
      <c r="V32" s="1"/>
      <c r="W32" s="1"/>
      <c r="X32" s="1"/>
      <c r="Y32" s="1"/>
      <c r="Z32" s="1"/>
      <c r="AA32" s="1"/>
      <c r="AB32" s="1"/>
      <c r="AC32" s="1"/>
      <c r="AD32" s="1"/>
      <c r="AE32" s="1"/>
      <c r="AF32" s="1"/>
      <c r="AG32" s="1"/>
      <c r="AH32" s="1"/>
    </row>
    <row r="33" spans="1:34" ht="15" customHeight="1" x14ac:dyDescent="0.3">
      <c r="A33" s="1"/>
      <c r="B33" s="1623"/>
      <c r="C33" s="1"/>
      <c r="D33" s="759"/>
      <c r="E33" s="530"/>
      <c r="F33" s="674">
        <f>SUM(F30:F32)</f>
        <v>0</v>
      </c>
      <c r="G33" s="530"/>
      <c r="H33" s="674">
        <f>SUM(H30:H32)</f>
        <v>0</v>
      </c>
      <c r="I33" s="530"/>
      <c r="J33" s="813"/>
      <c r="K33" s="1"/>
      <c r="L33" s="1639"/>
      <c r="M33" s="1"/>
      <c r="N33" s="1640"/>
      <c r="O33" s="1"/>
      <c r="P33" s="1"/>
      <c r="Q33" s="1"/>
      <c r="R33" s="1"/>
      <c r="S33" s="1"/>
      <c r="T33" s="1"/>
      <c r="U33" s="1"/>
      <c r="V33" s="1"/>
      <c r="W33" s="1"/>
      <c r="X33" s="1"/>
      <c r="Y33" s="1"/>
      <c r="Z33" s="1"/>
      <c r="AA33" s="1"/>
      <c r="AB33" s="1"/>
      <c r="AC33" s="1"/>
      <c r="AD33" s="1"/>
      <c r="AE33" s="1"/>
      <c r="AF33" s="1"/>
      <c r="AG33" s="1"/>
      <c r="AH33" s="1"/>
    </row>
    <row r="34" spans="1:34" ht="15" customHeight="1" x14ac:dyDescent="0.3">
      <c r="A34" s="1"/>
      <c r="B34" s="1623"/>
      <c r="C34" s="1"/>
      <c r="D34" s="759"/>
      <c r="E34" s="828" t="s">
        <v>1056</v>
      </c>
      <c r="F34" s="821"/>
      <c r="G34" s="827"/>
      <c r="H34" s="821"/>
      <c r="I34" s="827"/>
      <c r="J34" s="813"/>
      <c r="K34" s="1"/>
      <c r="L34" s="1639"/>
      <c r="M34" s="1"/>
      <c r="N34" s="1640"/>
      <c r="O34" s="1"/>
      <c r="P34" s="1"/>
      <c r="Q34" s="1"/>
      <c r="R34" s="1"/>
      <c r="S34" s="1"/>
      <c r="T34" s="1"/>
      <c r="U34" s="1"/>
      <c r="V34" s="1"/>
      <c r="W34" s="1"/>
      <c r="X34" s="1"/>
      <c r="Y34" s="1"/>
      <c r="Z34" s="1"/>
      <c r="AA34" s="1"/>
      <c r="AB34" s="1"/>
      <c r="AC34" s="1"/>
      <c r="AD34" s="1"/>
      <c r="AE34" s="1"/>
      <c r="AF34" s="1"/>
      <c r="AG34" s="1"/>
      <c r="AH34" s="1"/>
    </row>
    <row r="35" spans="1:34" ht="15" customHeight="1" x14ac:dyDescent="0.3">
      <c r="A35" s="1"/>
      <c r="B35" s="1623"/>
      <c r="C35" s="1"/>
      <c r="D35" s="759"/>
      <c r="E35" s="530" t="s">
        <v>998</v>
      </c>
      <c r="F35" s="347"/>
      <c r="G35" s="827" t="s">
        <v>22</v>
      </c>
      <c r="H35" s="347"/>
      <c r="I35" s="827" t="s">
        <v>22</v>
      </c>
      <c r="J35" s="813"/>
      <c r="K35" s="1"/>
      <c r="L35" s="1639"/>
      <c r="M35" s="1"/>
      <c r="N35" s="1640"/>
      <c r="O35" s="1"/>
      <c r="P35" s="1"/>
      <c r="Q35" s="1"/>
      <c r="R35" s="1"/>
      <c r="S35" s="1"/>
      <c r="T35" s="1"/>
      <c r="U35" s="1"/>
      <c r="V35" s="1"/>
      <c r="W35" s="1"/>
      <c r="X35" s="1"/>
      <c r="Y35" s="1"/>
      <c r="Z35" s="1"/>
      <c r="AA35" s="1"/>
      <c r="AB35" s="1"/>
      <c r="AC35" s="1"/>
      <c r="AD35" s="1"/>
      <c r="AE35" s="1"/>
      <c r="AF35" s="1"/>
      <c r="AG35" s="1"/>
      <c r="AH35" s="1"/>
    </row>
    <row r="36" spans="1:34" ht="15" customHeight="1" x14ac:dyDescent="0.3">
      <c r="A36" s="1"/>
      <c r="B36" s="1623"/>
      <c r="C36" s="1"/>
      <c r="D36" s="759"/>
      <c r="E36" s="530" t="s">
        <v>999</v>
      </c>
      <c r="F36" s="347"/>
      <c r="G36" s="827" t="s">
        <v>22</v>
      </c>
      <c r="H36" s="347"/>
      <c r="I36" s="827" t="s">
        <v>22</v>
      </c>
      <c r="J36" s="813"/>
      <c r="K36" s="1"/>
      <c r="L36" s="1639"/>
      <c r="M36" s="1"/>
      <c r="N36" s="1640"/>
      <c r="O36" s="1"/>
      <c r="P36" s="1"/>
      <c r="Q36" s="1"/>
      <c r="R36" s="1"/>
      <c r="S36" s="1"/>
      <c r="T36" s="1"/>
      <c r="U36" s="1"/>
      <c r="V36" s="1"/>
      <c r="W36" s="1"/>
      <c r="X36" s="1"/>
      <c r="Y36" s="1"/>
      <c r="Z36" s="1"/>
      <c r="AA36" s="1"/>
      <c r="AB36" s="1"/>
      <c r="AC36" s="1"/>
      <c r="AD36" s="1"/>
      <c r="AE36" s="1"/>
      <c r="AF36" s="1"/>
      <c r="AG36" s="1"/>
      <c r="AH36" s="1"/>
    </row>
    <row r="37" spans="1:34" ht="15" customHeight="1" x14ac:dyDescent="0.3">
      <c r="A37" s="1"/>
      <c r="B37" s="1623"/>
      <c r="C37" s="1"/>
      <c r="D37" s="759"/>
      <c r="E37" s="530" t="s">
        <v>1000</v>
      </c>
      <c r="F37" s="347"/>
      <c r="G37" s="827" t="s">
        <v>22</v>
      </c>
      <c r="H37" s="347"/>
      <c r="I37" s="827" t="s">
        <v>22</v>
      </c>
      <c r="J37" s="813"/>
      <c r="K37" s="1"/>
      <c r="L37" s="1639"/>
      <c r="M37" s="1"/>
      <c r="N37" s="1640"/>
      <c r="O37" s="1"/>
      <c r="P37" s="1"/>
      <c r="Q37" s="1"/>
      <c r="R37" s="1"/>
      <c r="S37" s="1"/>
      <c r="T37" s="1"/>
      <c r="U37" s="1"/>
      <c r="V37" s="1"/>
      <c r="W37" s="1"/>
      <c r="X37" s="1"/>
      <c r="Y37" s="1"/>
      <c r="Z37" s="1"/>
      <c r="AA37" s="1"/>
      <c r="AB37" s="1"/>
      <c r="AC37" s="1"/>
      <c r="AD37" s="1"/>
      <c r="AE37" s="1"/>
      <c r="AF37" s="1"/>
      <c r="AG37" s="1"/>
      <c r="AH37" s="1"/>
    </row>
    <row r="38" spans="1:34" ht="15" customHeight="1" x14ac:dyDescent="0.3">
      <c r="A38" s="1"/>
      <c r="B38" s="1623"/>
      <c r="C38" s="1"/>
      <c r="D38" s="759"/>
      <c r="E38" s="831"/>
      <c r="F38" s="674">
        <f>SUM(F35:F37)</f>
        <v>0</v>
      </c>
      <c r="G38" s="530"/>
      <c r="H38" s="674">
        <f>SUM(H35:H37)</f>
        <v>0</v>
      </c>
      <c r="I38" s="827"/>
      <c r="J38" s="813"/>
      <c r="K38" s="1"/>
      <c r="L38" s="1639"/>
      <c r="M38" s="1"/>
      <c r="N38" s="1640"/>
      <c r="O38" s="1"/>
      <c r="P38" s="1"/>
      <c r="Q38" s="1"/>
      <c r="R38" s="1"/>
      <c r="S38" s="1"/>
      <c r="T38" s="1"/>
      <c r="U38" s="1"/>
      <c r="V38" s="1"/>
      <c r="W38" s="1"/>
      <c r="X38" s="1"/>
      <c r="Y38" s="1"/>
      <c r="Z38" s="1"/>
      <c r="AA38" s="1"/>
      <c r="AB38" s="1"/>
      <c r="AC38" s="1"/>
      <c r="AD38" s="1"/>
      <c r="AE38" s="1"/>
      <c r="AF38" s="1"/>
      <c r="AG38" s="1"/>
      <c r="AH38" s="1"/>
    </row>
    <row r="39" spans="1:34" ht="15" customHeight="1" x14ac:dyDescent="0.3">
      <c r="A39" s="1"/>
      <c r="B39" s="1623"/>
      <c r="C39" s="1"/>
      <c r="D39" s="759"/>
      <c r="E39" s="828" t="s">
        <v>1057</v>
      </c>
      <c r="F39" s="821"/>
      <c r="G39" s="827"/>
      <c r="H39" s="821"/>
      <c r="I39" s="827"/>
      <c r="J39" s="813"/>
      <c r="K39" s="1"/>
      <c r="L39" s="1639"/>
      <c r="M39" s="1"/>
      <c r="N39" s="1640"/>
      <c r="O39" s="1"/>
      <c r="P39" s="1"/>
      <c r="Q39" s="1"/>
      <c r="R39" s="1"/>
      <c r="S39" s="1"/>
      <c r="T39" s="1"/>
      <c r="U39" s="1"/>
      <c r="V39" s="1"/>
      <c r="W39" s="1"/>
      <c r="X39" s="1"/>
      <c r="Y39" s="1"/>
      <c r="Z39" s="1"/>
      <c r="AA39" s="1"/>
      <c r="AB39" s="1"/>
      <c r="AC39" s="1"/>
      <c r="AD39" s="1"/>
      <c r="AE39" s="1"/>
      <c r="AF39" s="1"/>
      <c r="AG39" s="1"/>
      <c r="AH39" s="1"/>
    </row>
    <row r="40" spans="1:34" ht="15" customHeight="1" x14ac:dyDescent="0.3">
      <c r="A40" s="1"/>
      <c r="B40" s="1623"/>
      <c r="C40" s="1"/>
      <c r="D40" s="759"/>
      <c r="E40" s="530" t="s">
        <v>1001</v>
      </c>
      <c r="F40" s="347"/>
      <c r="G40" s="827" t="s">
        <v>22</v>
      </c>
      <c r="H40" s="347"/>
      <c r="I40" s="827" t="s">
        <v>22</v>
      </c>
      <c r="J40" s="813"/>
      <c r="K40" s="1"/>
      <c r="L40" s="1639"/>
      <c r="M40" s="1"/>
      <c r="N40" s="1640"/>
      <c r="O40" s="1"/>
      <c r="P40" s="1"/>
      <c r="Q40" s="1"/>
      <c r="R40" s="1"/>
      <c r="S40" s="1"/>
      <c r="T40" s="1"/>
      <c r="U40" s="1"/>
      <c r="V40" s="1"/>
      <c r="W40" s="1"/>
      <c r="X40" s="1"/>
      <c r="Y40" s="1"/>
      <c r="Z40" s="1"/>
      <c r="AA40" s="1"/>
      <c r="AB40" s="1"/>
      <c r="AC40" s="1"/>
      <c r="AD40" s="1"/>
      <c r="AE40" s="1"/>
      <c r="AF40" s="1"/>
      <c r="AG40" s="1"/>
      <c r="AH40" s="1"/>
    </row>
    <row r="41" spans="1:34" ht="15" customHeight="1" x14ac:dyDescent="0.3">
      <c r="A41" s="1"/>
      <c r="B41" s="1623"/>
      <c r="C41" s="1"/>
      <c r="D41" s="759"/>
      <c r="E41" s="530" t="s">
        <v>1002</v>
      </c>
      <c r="F41" s="347"/>
      <c r="G41" s="827" t="s">
        <v>22</v>
      </c>
      <c r="H41" s="347"/>
      <c r="I41" s="827" t="s">
        <v>22</v>
      </c>
      <c r="J41" s="813"/>
      <c r="K41" s="1"/>
      <c r="L41" s="1639"/>
      <c r="M41" s="1"/>
      <c r="N41" s="1640"/>
      <c r="O41" s="1"/>
      <c r="P41" s="1"/>
      <c r="Q41" s="1"/>
      <c r="R41" s="1"/>
      <c r="S41" s="1"/>
      <c r="T41" s="1"/>
      <c r="U41" s="1"/>
      <c r="V41" s="1"/>
      <c r="W41" s="1"/>
      <c r="X41" s="1"/>
      <c r="Y41" s="1"/>
      <c r="Z41" s="1"/>
      <c r="AA41" s="1"/>
      <c r="AB41" s="1"/>
      <c r="AC41" s="1"/>
      <c r="AD41" s="1"/>
      <c r="AE41" s="1"/>
      <c r="AF41" s="1"/>
      <c r="AG41" s="1"/>
      <c r="AH41" s="1"/>
    </row>
    <row r="42" spans="1:34" ht="15" customHeight="1" x14ac:dyDescent="0.3">
      <c r="A42" s="1"/>
      <c r="B42" s="1623"/>
      <c r="C42" s="1"/>
      <c r="D42" s="759"/>
      <c r="E42" s="530" t="s">
        <v>1003</v>
      </c>
      <c r="F42" s="347"/>
      <c r="G42" s="827" t="s">
        <v>22</v>
      </c>
      <c r="H42" s="347"/>
      <c r="I42" s="827" t="s">
        <v>22</v>
      </c>
      <c r="J42" s="813"/>
      <c r="K42" s="1"/>
      <c r="L42" s="1639"/>
      <c r="M42" s="1"/>
      <c r="N42" s="1640"/>
      <c r="O42" s="1"/>
      <c r="P42" s="1"/>
      <c r="Q42" s="1"/>
      <c r="R42" s="1"/>
      <c r="S42" s="1"/>
      <c r="T42" s="1"/>
      <c r="U42" s="1"/>
      <c r="V42" s="1"/>
      <c r="W42" s="1"/>
      <c r="X42" s="1"/>
      <c r="Y42" s="1"/>
      <c r="Z42" s="1"/>
      <c r="AA42" s="1"/>
      <c r="AB42" s="1"/>
      <c r="AC42" s="1"/>
      <c r="AD42" s="1"/>
      <c r="AE42" s="1"/>
      <c r="AF42" s="1"/>
      <c r="AG42" s="1"/>
      <c r="AH42" s="1"/>
    </row>
    <row r="43" spans="1:34" ht="15" customHeight="1" x14ac:dyDescent="0.3">
      <c r="A43" s="1"/>
      <c r="B43" s="1623"/>
      <c r="C43" s="1"/>
      <c r="D43" s="759"/>
      <c r="E43" s="530"/>
      <c r="F43" s="674">
        <f>SUM(F40:F42)</f>
        <v>0</v>
      </c>
      <c r="G43" s="530"/>
      <c r="H43" s="674">
        <f>SUM(H40:H42)</f>
        <v>0</v>
      </c>
      <c r="I43" s="827"/>
      <c r="J43" s="813"/>
      <c r="K43" s="1"/>
      <c r="L43" s="1639"/>
      <c r="M43" s="1"/>
      <c r="N43" s="1640"/>
      <c r="O43" s="1"/>
      <c r="P43" s="1"/>
      <c r="Q43" s="1"/>
      <c r="R43" s="1"/>
      <c r="S43" s="1"/>
      <c r="T43" s="1"/>
      <c r="U43" s="1"/>
      <c r="V43" s="1"/>
      <c r="W43" s="1"/>
      <c r="X43" s="1"/>
      <c r="Y43" s="1"/>
      <c r="Z43" s="1"/>
      <c r="AA43" s="1"/>
      <c r="AB43" s="1"/>
      <c r="AC43" s="1"/>
      <c r="AD43" s="1"/>
      <c r="AE43" s="1"/>
      <c r="AF43" s="1"/>
      <c r="AG43" s="1"/>
      <c r="AH43" s="1"/>
    </row>
    <row r="44" spans="1:34" ht="15" customHeight="1" x14ac:dyDescent="0.3">
      <c r="A44" s="1"/>
      <c r="B44" s="1623"/>
      <c r="C44" s="1"/>
      <c r="D44" s="759"/>
      <c r="E44" s="530" t="s">
        <v>1227</v>
      </c>
      <c r="F44" s="674">
        <f>Area_Softscape_Total_Post_Development</f>
        <v>0</v>
      </c>
      <c r="G44" s="577" t="str">
        <f>G8</f>
        <v>sf</v>
      </c>
      <c r="H44" s="674">
        <f>Area_Softscape_Total_Pre_Development</f>
        <v>0</v>
      </c>
      <c r="I44" s="577" t="str">
        <f>I8</f>
        <v>sf</v>
      </c>
      <c r="J44" s="813"/>
      <c r="K44" s="1"/>
      <c r="L44" s="1639"/>
      <c r="M44" s="1"/>
      <c r="N44" s="1640"/>
      <c r="O44" s="1"/>
      <c r="P44" s="1"/>
      <c r="Q44" s="1"/>
      <c r="R44" s="1"/>
      <c r="S44" s="1"/>
      <c r="T44" s="1"/>
      <c r="U44" s="1"/>
      <c r="V44" s="1"/>
      <c r="W44" s="1"/>
      <c r="X44" s="1"/>
      <c r="Y44" s="1"/>
      <c r="Z44" s="1"/>
      <c r="AA44" s="1"/>
      <c r="AB44" s="1"/>
      <c r="AC44" s="1"/>
      <c r="AD44" s="1"/>
      <c r="AE44" s="1"/>
      <c r="AF44" s="1"/>
      <c r="AG44" s="1"/>
      <c r="AH44" s="1"/>
    </row>
    <row r="45" spans="1:34" ht="15" customHeight="1" x14ac:dyDescent="0.3">
      <c r="A45" s="1"/>
      <c r="B45" s="1623"/>
      <c r="C45" s="1"/>
      <c r="D45" s="759"/>
      <c r="E45" s="530" t="s">
        <v>1228</v>
      </c>
      <c r="F45" s="674">
        <f>Area_Vegetated_LQ_Post_Development+Area_Vegetated_MQ_Post_Development+Area_Vegetated_HQ_Post_Development</f>
        <v>0</v>
      </c>
      <c r="G45" s="577" t="str">
        <f>G19</f>
        <v>sf</v>
      </c>
      <c r="H45" s="674">
        <f>Area_Vegetated_LQ_Pre_Development+Area_Vegetated_MQ_Pre_Development+Area_Vegetated_HQ_Pre_Development</f>
        <v>0</v>
      </c>
      <c r="I45" s="577" t="str">
        <f>I9</f>
        <v>sf</v>
      </c>
      <c r="J45" s="813"/>
      <c r="K45" s="1"/>
      <c r="L45" s="1639"/>
      <c r="M45" s="1"/>
      <c r="N45" s="1640"/>
      <c r="O45" s="1"/>
      <c r="P45" s="1"/>
      <c r="Q45" s="1"/>
      <c r="R45" s="1"/>
      <c r="S45" s="1"/>
      <c r="T45" s="1"/>
      <c r="U45" s="1"/>
      <c r="V45" s="1"/>
      <c r="W45" s="1"/>
      <c r="X45" s="1"/>
      <c r="Y45" s="1"/>
      <c r="Z45" s="1"/>
      <c r="AA45" s="1"/>
      <c r="AB45" s="1"/>
      <c r="AC45" s="1"/>
      <c r="AD45" s="1"/>
      <c r="AE45" s="1"/>
      <c r="AF45" s="1"/>
      <c r="AG45" s="1"/>
      <c r="AH45" s="1"/>
    </row>
    <row r="46" spans="1:34" ht="15" customHeight="1" thickBot="1" x14ac:dyDescent="0.35">
      <c r="A46" s="1"/>
      <c r="B46" s="1623"/>
      <c r="C46" s="1"/>
      <c r="D46" s="759"/>
      <c r="E46" s="1415" t="s">
        <v>1229</v>
      </c>
      <c r="F46" s="1417">
        <f>Area_Vegetated_LQ_Post_Development+Area_Vegetated_MQ_Post_Development+Area_Vegetated_HQ_Post_Development</f>
        <v>0</v>
      </c>
      <c r="G46" s="1416"/>
      <c r="H46" s="1417">
        <f>Area_Vegetated_LQ_Pre_Development+Area_Vegetated_MQ_Pre_Development+Area_Vegetated_HQ_Pre_Development</f>
        <v>0</v>
      </c>
      <c r="I46" s="827"/>
      <c r="J46" s="813"/>
      <c r="K46" s="1"/>
      <c r="L46" s="1639"/>
      <c r="M46" s="1"/>
      <c r="N46" s="1640"/>
      <c r="O46" s="1"/>
      <c r="P46" s="1"/>
      <c r="Q46" s="1"/>
      <c r="R46" s="1"/>
      <c r="S46" s="1"/>
      <c r="T46" s="1"/>
      <c r="U46" s="1"/>
      <c r="V46" s="1"/>
      <c r="W46" s="1"/>
      <c r="X46" s="1"/>
      <c r="Y46" s="1"/>
      <c r="Z46" s="1"/>
      <c r="AA46" s="1"/>
      <c r="AB46" s="1"/>
      <c r="AC46" s="1"/>
      <c r="AD46" s="1"/>
      <c r="AE46" s="1"/>
      <c r="AF46" s="1"/>
      <c r="AG46" s="1"/>
      <c r="AH46" s="1"/>
    </row>
    <row r="47" spans="1:34" ht="15" customHeight="1" thickBot="1" x14ac:dyDescent="0.35">
      <c r="A47" s="1"/>
      <c r="B47" s="1623"/>
      <c r="C47" s="1"/>
      <c r="D47" s="759"/>
      <c r="E47" s="834" t="s">
        <v>1053</v>
      </c>
      <c r="F47" s="835">
        <f>IFERROR(((Area_Vegetated_LQ_Post_Development/Area_Softscape_Total_Post_Development)*0.5)+((Area_Vegetated_MQ_Post_Development/Area_Softscape_Total_Post_Development)*0.75)+((Area_Vegetated_HQ_Post_Development/Area_Softscape_Total_Post_Development)*1),0)</f>
        <v>0</v>
      </c>
      <c r="G47" s="827"/>
      <c r="H47" s="835">
        <f>IFERROR(((Area_Vegetated_LQ_Pre_Development/Area_Softscape_Total_Pre_Development)*0.5)+((Area_Vegetated_MQ_Pre_Development/Area_Softscape_Total_Pre_Development)*0.75)+((Area_Vegetated_HQ_Pre_Development/Area_Softscape_Total_Pre_Development)*1),0)</f>
        <v>0</v>
      </c>
      <c r="I47" s="827"/>
      <c r="J47" s="813"/>
      <c r="K47" s="1"/>
      <c r="L47" s="1639"/>
      <c r="M47" s="1"/>
      <c r="N47" s="1640"/>
      <c r="O47" s="1"/>
      <c r="P47" s="1"/>
      <c r="Q47" s="1"/>
      <c r="R47" s="1"/>
      <c r="S47" s="1"/>
      <c r="T47" s="1"/>
      <c r="U47" s="1"/>
      <c r="V47" s="1"/>
      <c r="W47" s="1"/>
      <c r="X47" s="1"/>
      <c r="Y47" s="1"/>
      <c r="Z47" s="1"/>
      <c r="AA47" s="1"/>
      <c r="AB47" s="1"/>
      <c r="AC47" s="1"/>
      <c r="AD47" s="1"/>
      <c r="AE47" s="1"/>
      <c r="AF47" s="1"/>
      <c r="AG47" s="1"/>
      <c r="AH47" s="1"/>
    </row>
    <row r="48" spans="1:34" ht="15" customHeight="1" x14ac:dyDescent="0.3">
      <c r="A48" s="1"/>
      <c r="B48" s="1623"/>
      <c r="C48" s="1"/>
      <c r="D48" s="759"/>
      <c r="E48" s="833"/>
      <c r="F48" s="821"/>
      <c r="G48" s="827"/>
      <c r="H48" s="821"/>
      <c r="I48" s="827"/>
      <c r="J48" s="813"/>
      <c r="K48" s="1"/>
      <c r="L48" s="1639"/>
      <c r="M48" s="1"/>
      <c r="N48" s="1640"/>
      <c r="O48" s="1"/>
      <c r="P48" s="1"/>
      <c r="Q48" s="1"/>
      <c r="R48" s="1"/>
      <c r="S48" s="1"/>
      <c r="T48" s="1"/>
      <c r="U48" s="1"/>
      <c r="V48" s="1"/>
      <c r="W48" s="1"/>
      <c r="X48" s="1"/>
      <c r="Y48" s="1"/>
      <c r="Z48" s="1"/>
      <c r="AA48" s="1"/>
      <c r="AB48" s="1"/>
      <c r="AC48" s="1"/>
      <c r="AD48" s="1"/>
      <c r="AE48" s="1"/>
      <c r="AF48" s="1"/>
      <c r="AG48" s="1"/>
      <c r="AH48" s="1"/>
    </row>
    <row r="49" spans="1:34" ht="26" x14ac:dyDescent="0.3">
      <c r="A49" s="1"/>
      <c r="B49" s="1623"/>
      <c r="C49" s="1"/>
      <c r="D49" s="759"/>
      <c r="E49" s="836" t="s">
        <v>1004</v>
      </c>
      <c r="F49" s="829" t="s">
        <v>186</v>
      </c>
      <c r="G49" s="827"/>
      <c r="H49" s="829" t="s">
        <v>187</v>
      </c>
      <c r="I49" s="827"/>
      <c r="J49" s="813"/>
      <c r="K49" s="1"/>
      <c r="L49" s="1639"/>
      <c r="M49" s="1"/>
      <c r="N49" s="1640"/>
      <c r="O49" s="1"/>
      <c r="P49" s="1"/>
      <c r="Q49" s="1"/>
      <c r="R49" s="1"/>
      <c r="S49" s="1"/>
      <c r="T49" s="1"/>
      <c r="U49" s="1"/>
      <c r="V49" s="1"/>
      <c r="W49" s="1"/>
      <c r="X49" s="1"/>
      <c r="Y49" s="1"/>
      <c r="Z49" s="1"/>
      <c r="AA49" s="1"/>
      <c r="AB49" s="1"/>
      <c r="AC49" s="1"/>
      <c r="AD49" s="1"/>
      <c r="AE49" s="1"/>
      <c r="AF49" s="1"/>
      <c r="AG49" s="1"/>
      <c r="AH49" s="1"/>
    </row>
    <row r="50" spans="1:34" ht="15" customHeight="1" x14ac:dyDescent="0.3">
      <c r="A50" s="1"/>
      <c r="B50" s="1623"/>
      <c r="C50" s="1"/>
      <c r="D50" s="759"/>
      <c r="E50" s="530" t="s">
        <v>1005</v>
      </c>
      <c r="F50" s="347"/>
      <c r="G50" s="827" t="s">
        <v>804</v>
      </c>
      <c r="H50" s="347"/>
      <c r="I50" s="827" t="s">
        <v>804</v>
      </c>
      <c r="J50" s="813"/>
      <c r="K50" s="1"/>
      <c r="L50" s="1639"/>
      <c r="M50" s="1"/>
      <c r="N50" s="1640"/>
      <c r="O50" s="1"/>
      <c r="P50" s="1"/>
      <c r="Q50" s="1"/>
      <c r="R50" s="1"/>
      <c r="S50" s="1"/>
      <c r="T50" s="1"/>
      <c r="U50" s="1"/>
      <c r="V50" s="1"/>
      <c r="W50" s="1"/>
      <c r="X50" s="1"/>
      <c r="Y50" s="1"/>
      <c r="Z50" s="1"/>
      <c r="AA50" s="1"/>
      <c r="AB50" s="1"/>
      <c r="AC50" s="1"/>
      <c r="AD50" s="1"/>
      <c r="AE50" s="1"/>
      <c r="AF50" s="1"/>
      <c r="AG50" s="1"/>
      <c r="AH50" s="1"/>
    </row>
    <row r="51" spans="1:34" ht="15" customHeight="1" thickBot="1" x14ac:dyDescent="0.35">
      <c r="A51" s="1"/>
      <c r="B51" s="1623"/>
      <c r="C51" s="1"/>
      <c r="D51" s="759"/>
      <c r="E51" s="530"/>
      <c r="F51" s="530"/>
      <c r="G51" s="530"/>
      <c r="H51" s="530"/>
      <c r="I51" s="530"/>
      <c r="J51" s="813"/>
      <c r="K51" s="1"/>
      <c r="L51" s="1639"/>
      <c r="M51" s="1"/>
      <c r="N51" s="1640"/>
      <c r="O51" s="1"/>
      <c r="P51" s="1"/>
      <c r="Q51" s="1"/>
      <c r="R51" s="1"/>
      <c r="S51" s="1"/>
      <c r="T51" s="1"/>
      <c r="U51" s="1"/>
      <c r="V51" s="1"/>
      <c r="W51" s="1"/>
      <c r="X51" s="1"/>
      <c r="Y51" s="1"/>
      <c r="Z51" s="1"/>
      <c r="AA51" s="1"/>
      <c r="AB51" s="1"/>
      <c r="AC51" s="1"/>
      <c r="AD51" s="1"/>
      <c r="AE51" s="1"/>
      <c r="AF51" s="1"/>
      <c r="AG51" s="1"/>
      <c r="AH51" s="1"/>
    </row>
    <row r="52" spans="1:34" ht="15" customHeight="1" thickBot="1" x14ac:dyDescent="0.35">
      <c r="A52" s="1"/>
      <c r="B52" s="1623"/>
      <c r="C52" s="1"/>
      <c r="D52" s="759"/>
      <c r="E52" s="816" t="s">
        <v>1069</v>
      </c>
      <c r="F52" s="346">
        <f>IFERROR((F50-H50)/H50,0)</f>
        <v>0</v>
      </c>
      <c r="G52" s="530"/>
      <c r="H52" s="474"/>
      <c r="I52" s="837"/>
      <c r="J52" s="813"/>
      <c r="K52" s="1"/>
      <c r="L52" s="1639"/>
      <c r="M52" s="1"/>
      <c r="N52" s="1640"/>
      <c r="O52" s="1"/>
      <c r="P52" s="1"/>
      <c r="Q52" s="1"/>
      <c r="R52" s="1"/>
      <c r="S52" s="1"/>
      <c r="T52" s="1"/>
      <c r="U52" s="1"/>
      <c r="V52" s="1"/>
      <c r="W52" s="1"/>
      <c r="X52" s="1"/>
      <c r="Y52" s="1"/>
      <c r="Z52" s="1"/>
      <c r="AA52" s="1"/>
      <c r="AB52" s="1"/>
      <c r="AC52" s="1"/>
      <c r="AD52" s="1"/>
      <c r="AE52" s="1"/>
      <c r="AF52" s="1"/>
      <c r="AG52" s="1"/>
      <c r="AH52" s="1"/>
    </row>
    <row r="53" spans="1:34" ht="15" customHeight="1" x14ac:dyDescent="0.3">
      <c r="A53" s="1"/>
      <c r="B53" s="1623"/>
      <c r="C53" s="1"/>
      <c r="D53" s="838"/>
      <c r="E53" s="839"/>
      <c r="F53" s="839"/>
      <c r="G53" s="840"/>
      <c r="H53" s="839"/>
      <c r="I53" s="839"/>
      <c r="J53" s="841"/>
      <c r="K53" s="1"/>
      <c r="L53" s="1639"/>
      <c r="M53" s="1"/>
      <c r="N53" s="1640"/>
      <c r="O53" s="1"/>
      <c r="P53" s="1"/>
      <c r="Q53" s="1"/>
      <c r="R53" s="1"/>
      <c r="S53" s="1"/>
      <c r="T53" s="1"/>
      <c r="U53" s="1"/>
      <c r="V53" s="1"/>
      <c r="W53" s="1"/>
      <c r="X53" s="1"/>
      <c r="Y53" s="1"/>
      <c r="Z53" s="1"/>
      <c r="AA53" s="1"/>
      <c r="AB53" s="1"/>
      <c r="AC53" s="1"/>
      <c r="AD53" s="1"/>
      <c r="AE53" s="1"/>
      <c r="AF53" s="1"/>
      <c r="AG53" s="1"/>
      <c r="AH53" s="1"/>
    </row>
    <row r="54" spans="1:34" ht="15" customHeight="1" x14ac:dyDescent="0.3">
      <c r="A54" s="1"/>
      <c r="B54" s="1"/>
      <c r="C54" s="1"/>
      <c r="D54" s="1"/>
      <c r="E54" s="1"/>
      <c r="F54" s="744"/>
      <c r="G54" s="1"/>
      <c r="H54" s="744"/>
      <c r="I54" s="1"/>
      <c r="J54" s="1"/>
      <c r="K54" s="1"/>
      <c r="L54" s="1"/>
      <c r="M54" s="1"/>
      <c r="N54" s="1"/>
      <c r="O54" s="1"/>
      <c r="P54" s="1"/>
      <c r="Q54" s="1"/>
      <c r="R54" s="1"/>
      <c r="S54" s="1"/>
      <c r="T54" s="1"/>
      <c r="U54" s="1"/>
      <c r="V54" s="1"/>
      <c r="W54" s="1"/>
      <c r="X54" s="1"/>
      <c r="Y54" s="1"/>
      <c r="Z54" s="1"/>
      <c r="AA54" s="1"/>
      <c r="AB54" s="1"/>
      <c r="AC54" s="1"/>
      <c r="AD54" s="1"/>
      <c r="AE54" s="1"/>
      <c r="AF54" s="1"/>
      <c r="AG54" s="1"/>
      <c r="AH54" s="1"/>
    </row>
    <row r="55" spans="1:34" ht="15" customHeight="1" x14ac:dyDescent="0.3">
      <c r="A55" s="1"/>
      <c r="B55" s="1645" t="s">
        <v>1189</v>
      </c>
      <c r="C55" s="1"/>
      <c r="D55" s="1636" t="s">
        <v>1059</v>
      </c>
      <c r="E55" s="1637"/>
      <c r="F55" s="1637"/>
      <c r="G55" s="1637"/>
      <c r="H55" s="1637"/>
      <c r="I55" s="1637"/>
      <c r="J55" s="1638"/>
      <c r="K55" s="1"/>
      <c r="L55" s="1646" t="s">
        <v>1197</v>
      </c>
      <c r="M55" s="1"/>
      <c r="N55" s="750" t="s">
        <v>1035</v>
      </c>
      <c r="O55" s="1"/>
      <c r="P55" s="1"/>
      <c r="Q55" s="1"/>
      <c r="R55" s="1"/>
      <c r="S55" s="1"/>
      <c r="T55" s="1"/>
      <c r="U55" s="1"/>
      <c r="V55" s="1"/>
      <c r="W55" s="1"/>
      <c r="X55" s="1"/>
      <c r="Y55" s="1"/>
      <c r="Z55" s="1"/>
      <c r="AA55" s="1"/>
      <c r="AB55" s="1"/>
      <c r="AC55" s="1"/>
      <c r="AD55" s="1"/>
      <c r="AE55" s="1"/>
      <c r="AF55" s="1"/>
      <c r="AG55" s="1"/>
      <c r="AH55" s="1"/>
    </row>
    <row r="56" spans="1:34" ht="15" customHeight="1" x14ac:dyDescent="0.3">
      <c r="A56" s="1"/>
      <c r="B56" s="1645"/>
      <c r="C56" s="1"/>
      <c r="D56" s="843"/>
      <c r="E56" s="844"/>
      <c r="F56" s="844"/>
      <c r="G56" s="844"/>
      <c r="H56" s="844"/>
      <c r="I56" s="845"/>
      <c r="J56" s="846"/>
      <c r="K56" s="1"/>
      <c r="L56" s="1646"/>
      <c r="M56" s="1"/>
      <c r="N56" s="750" t="s">
        <v>1036</v>
      </c>
      <c r="O56" s="1"/>
      <c r="P56" s="1"/>
      <c r="Q56" s="1"/>
      <c r="R56" s="1"/>
      <c r="S56" s="1"/>
      <c r="T56" s="1"/>
      <c r="U56" s="1"/>
      <c r="V56" s="1"/>
      <c r="W56" s="1"/>
      <c r="X56" s="1"/>
      <c r="Y56" s="1"/>
      <c r="Z56" s="1"/>
      <c r="AA56" s="1"/>
      <c r="AB56" s="1"/>
      <c r="AC56" s="1"/>
      <c r="AD56" s="1"/>
      <c r="AE56" s="1"/>
      <c r="AF56" s="1"/>
      <c r="AG56" s="1"/>
      <c r="AH56" s="1"/>
    </row>
    <row r="57" spans="1:34" ht="15" customHeight="1" x14ac:dyDescent="0.3">
      <c r="A57" s="1"/>
      <c r="B57" s="1645"/>
      <c r="C57" s="1"/>
      <c r="D57" s="847"/>
      <c r="E57" s="848" t="s">
        <v>1025</v>
      </c>
      <c r="F57" s="347"/>
      <c r="G57" s="849" t="s">
        <v>687</v>
      </c>
      <c r="H57" s="850"/>
      <c r="I57" s="851"/>
      <c r="J57" s="852"/>
      <c r="K57" s="1"/>
      <c r="L57" s="1646"/>
      <c r="M57" s="1"/>
      <c r="N57" s="751"/>
      <c r="O57" s="1"/>
      <c r="P57" s="1"/>
      <c r="Q57" s="1"/>
      <c r="R57" s="1"/>
      <c r="S57" s="1"/>
      <c r="T57" s="1"/>
      <c r="U57" s="1"/>
      <c r="V57" s="1"/>
      <c r="W57" s="1"/>
      <c r="X57" s="1"/>
      <c r="Y57" s="1"/>
      <c r="Z57" s="1"/>
      <c r="AA57" s="1"/>
      <c r="AB57" s="1"/>
      <c r="AC57" s="1"/>
      <c r="AD57" s="1"/>
      <c r="AE57" s="1"/>
      <c r="AF57" s="1"/>
      <c r="AG57" s="1"/>
      <c r="AH57" s="1"/>
    </row>
    <row r="58" spans="1:34" ht="15" customHeight="1" x14ac:dyDescent="0.3">
      <c r="A58" s="1"/>
      <c r="B58" s="1645"/>
      <c r="C58" s="1"/>
      <c r="D58" s="847"/>
      <c r="E58" s="850"/>
      <c r="F58" s="850"/>
      <c r="G58" s="850"/>
      <c r="H58" s="850"/>
      <c r="I58" s="851"/>
      <c r="J58" s="852"/>
      <c r="K58" s="1"/>
      <c r="L58" s="1646"/>
      <c r="M58" s="1"/>
      <c r="N58" s="751"/>
      <c r="O58" s="1"/>
      <c r="P58" s="1"/>
      <c r="Q58" s="1"/>
      <c r="R58" s="1"/>
      <c r="S58" s="1"/>
      <c r="T58" s="1"/>
      <c r="U58" s="1"/>
      <c r="V58" s="1"/>
      <c r="W58" s="1"/>
      <c r="X58" s="1"/>
      <c r="Y58" s="1"/>
      <c r="Z58" s="1"/>
      <c r="AA58" s="1"/>
      <c r="AB58" s="1"/>
      <c r="AC58" s="1"/>
      <c r="AD58" s="1"/>
      <c r="AE58" s="1"/>
      <c r="AF58" s="1"/>
      <c r="AG58" s="1"/>
      <c r="AH58" s="1"/>
    </row>
    <row r="59" spans="1:34" ht="15" customHeight="1" x14ac:dyDescent="0.3">
      <c r="A59" s="1"/>
      <c r="B59" s="1645"/>
      <c r="C59" s="1"/>
      <c r="D59" s="847"/>
      <c r="E59" s="853" t="s">
        <v>1026</v>
      </c>
      <c r="F59" s="347"/>
      <c r="G59" s="837" t="s">
        <v>1027</v>
      </c>
      <c r="H59" s="850"/>
      <c r="I59" s="851"/>
      <c r="J59" s="852"/>
      <c r="K59" s="1"/>
      <c r="L59" s="1646"/>
      <c r="M59" s="1"/>
      <c r="N59" s="751"/>
      <c r="O59" s="1"/>
      <c r="P59" s="1"/>
      <c r="Q59" s="1"/>
      <c r="R59" s="1"/>
      <c r="S59" s="1"/>
      <c r="T59" s="1"/>
      <c r="U59" s="1"/>
      <c r="V59" s="1"/>
      <c r="W59" s="1"/>
      <c r="X59" s="1"/>
      <c r="Y59" s="1"/>
      <c r="Z59" s="1"/>
      <c r="AA59" s="1"/>
      <c r="AB59" s="1"/>
      <c r="AC59" s="1"/>
      <c r="AD59" s="1"/>
      <c r="AE59" s="1"/>
      <c r="AF59" s="1"/>
      <c r="AG59" s="1"/>
      <c r="AH59" s="1"/>
    </row>
    <row r="60" spans="1:34" ht="15" customHeight="1" x14ac:dyDescent="0.4">
      <c r="A60" s="1"/>
      <c r="B60" s="1645"/>
      <c r="C60" s="1"/>
      <c r="D60" s="847"/>
      <c r="E60" s="848" t="s">
        <v>1028</v>
      </c>
      <c r="F60" s="470"/>
      <c r="G60" s="837" t="s">
        <v>1029</v>
      </c>
      <c r="H60" s="850"/>
      <c r="I60" s="851"/>
      <c r="J60" s="852"/>
      <c r="K60" s="1"/>
      <c r="L60" s="1646"/>
      <c r="M60" s="1"/>
      <c r="N60" s="751"/>
      <c r="O60" s="1"/>
      <c r="P60" s="1"/>
      <c r="Q60" s="1"/>
      <c r="R60" s="1"/>
      <c r="S60" s="1"/>
      <c r="T60" s="1"/>
      <c r="U60" s="1"/>
      <c r="V60" s="1"/>
      <c r="W60" s="1"/>
      <c r="X60" s="1"/>
      <c r="Y60" s="1"/>
      <c r="Z60" s="1"/>
      <c r="AA60" s="1"/>
      <c r="AB60" s="1"/>
      <c r="AC60" s="1"/>
      <c r="AD60" s="1"/>
      <c r="AE60" s="1"/>
      <c r="AF60" s="1"/>
      <c r="AG60" s="1"/>
      <c r="AH60" s="1"/>
    </row>
    <row r="61" spans="1:34" ht="15" customHeight="1" x14ac:dyDescent="0.3">
      <c r="A61" s="1"/>
      <c r="B61" s="1645"/>
      <c r="C61" s="1"/>
      <c r="D61" s="847"/>
      <c r="E61" s="848" t="s">
        <v>1048</v>
      </c>
      <c r="F61" s="1568" t="str">
        <f>IFERROR(((F60*1000)/Area_Building)/F59,"")</f>
        <v/>
      </c>
      <c r="G61" s="345" t="s">
        <v>784</v>
      </c>
      <c r="H61" s="850"/>
      <c r="I61" s="851"/>
      <c r="J61" s="852"/>
      <c r="K61" s="1"/>
      <c r="L61" s="1646"/>
      <c r="M61" s="1"/>
      <c r="N61" s="751"/>
      <c r="O61" s="1"/>
      <c r="P61" s="1"/>
      <c r="Q61" s="1"/>
      <c r="R61" s="1"/>
      <c r="S61" s="1"/>
      <c r="T61" s="1"/>
      <c r="U61" s="1"/>
      <c r="V61" s="1"/>
      <c r="W61" s="1"/>
      <c r="X61" s="1"/>
      <c r="Y61" s="1"/>
      <c r="Z61" s="1"/>
      <c r="AA61" s="1"/>
      <c r="AB61" s="1"/>
      <c r="AC61" s="1"/>
      <c r="AD61" s="1"/>
      <c r="AE61" s="1"/>
      <c r="AF61" s="1"/>
      <c r="AG61" s="1"/>
      <c r="AH61" s="1"/>
    </row>
    <row r="62" spans="1:34" ht="15" customHeight="1" thickBot="1" x14ac:dyDescent="0.35">
      <c r="A62" s="1"/>
      <c r="B62" s="1645"/>
      <c r="C62" s="1"/>
      <c r="D62" s="847"/>
      <c r="E62" s="850"/>
      <c r="F62" s="850"/>
      <c r="G62" s="837"/>
      <c r="H62" s="850"/>
      <c r="I62" s="851"/>
      <c r="J62" s="852"/>
      <c r="K62" s="1"/>
      <c r="L62" s="1646"/>
      <c r="M62" s="1"/>
      <c r="N62" s="751"/>
      <c r="O62" s="1"/>
      <c r="P62" s="1"/>
      <c r="Q62" s="1"/>
      <c r="R62" s="1"/>
      <c r="S62" s="1"/>
      <c r="T62" s="1"/>
      <c r="U62" s="1"/>
      <c r="V62" s="1"/>
      <c r="W62" s="1"/>
      <c r="X62" s="1"/>
      <c r="Y62" s="1"/>
      <c r="Z62" s="1"/>
      <c r="AA62" s="1"/>
      <c r="AB62" s="1"/>
      <c r="AC62" s="1"/>
      <c r="AD62" s="1"/>
      <c r="AE62" s="1"/>
      <c r="AF62" s="1"/>
      <c r="AG62" s="1"/>
      <c r="AH62" s="1"/>
    </row>
    <row r="63" spans="1:34" ht="15" customHeight="1" thickBot="1" x14ac:dyDescent="0.35">
      <c r="A63" s="1"/>
      <c r="B63" s="1645"/>
      <c r="C63" s="1"/>
      <c r="D63" s="847"/>
      <c r="E63" s="854" t="s">
        <v>1047</v>
      </c>
      <c r="F63" s="471">
        <f>IFERROR(F61*10,0)</f>
        <v>0</v>
      </c>
      <c r="G63" s="345" t="s">
        <v>407</v>
      </c>
      <c r="H63" s="855"/>
      <c r="I63" s="851"/>
      <c r="J63" s="852"/>
      <c r="K63" s="1"/>
      <c r="L63" s="1646"/>
      <c r="M63" s="1"/>
      <c r="N63" s="751"/>
      <c r="O63" s="1"/>
      <c r="P63" s="1"/>
      <c r="Q63" s="1"/>
      <c r="R63" s="1"/>
      <c r="S63" s="1"/>
      <c r="T63" s="1"/>
      <c r="U63" s="1"/>
      <c r="V63" s="1"/>
      <c r="W63" s="1"/>
      <c r="X63" s="1"/>
      <c r="Y63" s="1"/>
      <c r="Z63" s="1"/>
      <c r="AA63" s="1"/>
      <c r="AB63" s="1"/>
      <c r="AC63" s="1"/>
      <c r="AD63" s="1"/>
      <c r="AE63" s="1"/>
      <c r="AF63" s="1"/>
      <c r="AG63" s="1"/>
      <c r="AH63" s="1"/>
    </row>
    <row r="64" spans="1:34" ht="15" customHeight="1" x14ac:dyDescent="0.3">
      <c r="A64" s="1"/>
      <c r="B64" s="1645"/>
      <c r="C64" s="1"/>
      <c r="D64" s="856"/>
      <c r="E64" s="839"/>
      <c r="F64" s="839"/>
      <c r="G64" s="840"/>
      <c r="H64" s="839"/>
      <c r="I64" s="857"/>
      <c r="J64" s="858"/>
      <c r="K64" s="1"/>
      <c r="L64" s="842"/>
      <c r="M64" s="1"/>
      <c r="N64" s="751"/>
      <c r="O64" s="1"/>
      <c r="P64" s="1"/>
      <c r="Q64" s="1"/>
      <c r="R64" s="1"/>
      <c r="S64" s="1"/>
      <c r="T64" s="1"/>
      <c r="U64" s="1"/>
      <c r="V64" s="1"/>
      <c r="W64" s="1"/>
      <c r="X64" s="1"/>
      <c r="Y64" s="1"/>
      <c r="Z64" s="1"/>
      <c r="AA64" s="1"/>
      <c r="AB64" s="1"/>
      <c r="AC64" s="1"/>
      <c r="AD64" s="1"/>
      <c r="AE64" s="1"/>
      <c r="AF64" s="1"/>
      <c r="AG64" s="1"/>
      <c r="AH64" s="1"/>
    </row>
    <row r="65" spans="1:43" ht="15" customHeight="1" x14ac:dyDescent="0.3">
      <c r="A65" s="1"/>
      <c r="B65" s="1"/>
      <c r="C65" s="1"/>
      <c r="D65" s="8"/>
      <c r="E65" s="8"/>
      <c r="F65" s="64"/>
      <c r="G65" s="8"/>
      <c r="H65" s="64"/>
      <c r="I65" s="8"/>
      <c r="J65" s="8"/>
      <c r="K65" s="1"/>
      <c r="L65" s="1"/>
      <c r="M65" s="1"/>
      <c r="N65" s="1"/>
      <c r="O65" s="1"/>
      <c r="P65" s="1"/>
      <c r="Q65" s="1"/>
      <c r="R65" s="1"/>
      <c r="S65" s="1"/>
      <c r="T65" s="1"/>
      <c r="U65" s="1"/>
      <c r="V65" s="1"/>
      <c r="W65" s="1"/>
      <c r="X65" s="1"/>
      <c r="Y65" s="1"/>
      <c r="Z65" s="1"/>
      <c r="AA65" s="1"/>
      <c r="AB65" s="1"/>
      <c r="AC65" s="1"/>
      <c r="AD65" s="1"/>
      <c r="AE65" s="1"/>
      <c r="AF65" s="1"/>
      <c r="AG65" s="1"/>
      <c r="AH65" s="1"/>
    </row>
    <row r="66" spans="1:43" ht="15" customHeight="1" x14ac:dyDescent="0.3">
      <c r="A66" s="1"/>
      <c r="B66" s="1622" t="s">
        <v>1226</v>
      </c>
      <c r="C66" s="1"/>
      <c r="D66" s="1659" t="s">
        <v>1060</v>
      </c>
      <c r="E66" s="1660"/>
      <c r="F66" s="1661"/>
      <c r="G66" s="1661"/>
      <c r="H66" s="1661"/>
      <c r="I66" s="1661"/>
      <c r="J66" s="1662"/>
      <c r="K66" s="1"/>
      <c r="L66" s="1621" t="s">
        <v>1217</v>
      </c>
      <c r="M66" s="1"/>
      <c r="N66" s="808"/>
      <c r="O66" s="1"/>
      <c r="P66" s="1"/>
      <c r="Q66" s="1"/>
      <c r="R66" s="1"/>
      <c r="S66" s="1"/>
      <c r="T66" s="1"/>
      <c r="U66" s="1"/>
      <c r="V66" s="1"/>
      <c r="W66" s="1"/>
      <c r="X66" s="1"/>
      <c r="Y66" s="1"/>
      <c r="Z66" s="1"/>
      <c r="AA66" s="1"/>
      <c r="AB66" s="1"/>
      <c r="AC66" s="1"/>
      <c r="AD66" s="1"/>
      <c r="AE66" s="1"/>
      <c r="AF66" s="1"/>
      <c r="AG66" s="1"/>
      <c r="AH66" s="1"/>
    </row>
    <row r="67" spans="1:43" ht="15" customHeight="1" x14ac:dyDescent="0.3">
      <c r="A67" s="1"/>
      <c r="B67" s="1623"/>
      <c r="C67" s="1"/>
      <c r="D67" s="859"/>
      <c r="E67" s="860"/>
      <c r="F67" s="860"/>
      <c r="G67" s="861"/>
      <c r="H67" s="860"/>
      <c r="I67" s="861"/>
      <c r="J67" s="862"/>
      <c r="K67" s="1"/>
      <c r="L67" s="1621"/>
      <c r="M67" s="1"/>
      <c r="N67" s="808"/>
      <c r="O67" s="1"/>
      <c r="P67" s="1"/>
      <c r="Q67" s="1"/>
      <c r="R67" s="1"/>
      <c r="S67" s="1"/>
      <c r="T67" s="1"/>
      <c r="U67" s="1"/>
      <c r="V67" s="1"/>
      <c r="W67" s="1"/>
      <c r="X67" s="1"/>
      <c r="Y67" s="1"/>
      <c r="Z67" s="1"/>
      <c r="AA67" s="1"/>
      <c r="AB67" s="1"/>
      <c r="AC67" s="1"/>
      <c r="AD67" s="1"/>
      <c r="AE67" s="1"/>
      <c r="AF67" s="1"/>
      <c r="AG67" s="1"/>
      <c r="AH67" s="1"/>
    </row>
    <row r="68" spans="1:43" ht="26" x14ac:dyDescent="0.3">
      <c r="A68" s="1"/>
      <c r="B68" s="1623"/>
      <c r="C68" s="1"/>
      <c r="D68" s="775"/>
      <c r="E68" s="1564" t="s">
        <v>1033</v>
      </c>
      <c r="F68" s="863" t="s">
        <v>186</v>
      </c>
      <c r="G68" s="864"/>
      <c r="H68" s="863" t="s">
        <v>187</v>
      </c>
      <c r="I68" s="865"/>
      <c r="J68" s="866"/>
      <c r="K68" s="1"/>
      <c r="L68" s="1621"/>
      <c r="M68" s="1"/>
      <c r="N68" s="808"/>
      <c r="O68" s="1"/>
      <c r="P68" s="1"/>
      <c r="Q68" s="1"/>
      <c r="R68" s="1"/>
      <c r="S68" s="1"/>
      <c r="T68" s="1"/>
      <c r="U68" s="1"/>
      <c r="V68" s="1"/>
      <c r="W68" s="1"/>
      <c r="X68" s="1"/>
      <c r="Y68" s="1"/>
      <c r="Z68" s="1"/>
      <c r="AA68" s="1"/>
      <c r="AB68" s="1"/>
      <c r="AC68" s="1"/>
      <c r="AD68" s="1"/>
      <c r="AE68" s="1"/>
      <c r="AF68" s="1"/>
      <c r="AG68" s="1"/>
      <c r="AH68" s="1"/>
    </row>
    <row r="69" spans="1:43" ht="15" customHeight="1" x14ac:dyDescent="0.3">
      <c r="A69" s="1"/>
      <c r="B69" s="1623"/>
      <c r="C69" s="1"/>
      <c r="D69" s="775"/>
      <c r="E69" s="867" t="s">
        <v>1030</v>
      </c>
      <c r="F69" s="347"/>
      <c r="G69" s="864" t="s">
        <v>22</v>
      </c>
      <c r="H69" s="347"/>
      <c r="I69" s="864" t="s">
        <v>22</v>
      </c>
      <c r="J69" s="868"/>
      <c r="K69" s="1"/>
      <c r="L69" s="1621"/>
      <c r="M69" s="1"/>
      <c r="N69" s="808"/>
      <c r="O69" s="1"/>
      <c r="P69" s="1"/>
      <c r="Q69" s="1"/>
      <c r="R69" s="1"/>
      <c r="S69" s="1"/>
      <c r="T69" s="1"/>
      <c r="U69" s="1"/>
      <c r="V69" s="1"/>
      <c r="W69" s="1"/>
      <c r="X69" s="1"/>
      <c r="Y69" s="1"/>
      <c r="Z69" s="1"/>
      <c r="AA69" s="1"/>
      <c r="AB69" s="1"/>
      <c r="AC69" s="1"/>
      <c r="AD69" s="1"/>
      <c r="AE69" s="1"/>
      <c r="AF69" s="1"/>
      <c r="AG69" s="1"/>
      <c r="AH69" s="1"/>
    </row>
    <row r="70" spans="1:43" ht="15" customHeight="1" x14ac:dyDescent="0.3">
      <c r="A70" s="1"/>
      <c r="B70" s="1623"/>
      <c r="C70" s="1"/>
      <c r="D70" s="775"/>
      <c r="E70" s="867" t="s">
        <v>1031</v>
      </c>
      <c r="F70" s="347"/>
      <c r="G70" s="864" t="s">
        <v>22</v>
      </c>
      <c r="H70" s="347"/>
      <c r="I70" s="864" t="s">
        <v>22</v>
      </c>
      <c r="J70" s="868"/>
      <c r="K70" s="1"/>
      <c r="L70" s="1621"/>
      <c r="M70" s="1"/>
      <c r="N70" s="808"/>
      <c r="O70" s="1"/>
      <c r="P70" s="1"/>
      <c r="Q70" s="1"/>
      <c r="R70" s="1"/>
      <c r="S70" s="1"/>
      <c r="T70" s="1"/>
      <c r="U70" s="1"/>
      <c r="V70" s="1"/>
      <c r="W70" s="1"/>
      <c r="X70" s="1"/>
      <c r="Y70" s="1"/>
      <c r="Z70" s="1"/>
      <c r="AA70" s="1"/>
      <c r="AB70" s="1"/>
      <c r="AC70" s="1"/>
      <c r="AD70" s="1"/>
      <c r="AE70" s="1"/>
      <c r="AF70" s="1"/>
      <c r="AG70" s="1"/>
      <c r="AH70" s="1"/>
    </row>
    <row r="71" spans="1:43" ht="15" customHeight="1" x14ac:dyDescent="0.3">
      <c r="A71" s="1"/>
      <c r="B71" s="1623"/>
      <c r="C71" s="1"/>
      <c r="D71" s="775"/>
      <c r="E71" s="1095" t="s">
        <v>1032</v>
      </c>
      <c r="F71" s="347"/>
      <c r="G71" s="1566" t="s">
        <v>22</v>
      </c>
      <c r="H71" s="347"/>
      <c r="I71" s="1566" t="s">
        <v>22</v>
      </c>
      <c r="J71" s="868"/>
      <c r="K71" s="1"/>
      <c r="L71" s="1621"/>
      <c r="M71" s="1"/>
      <c r="N71" s="808"/>
      <c r="O71" s="1"/>
      <c r="P71" s="1"/>
      <c r="Q71" s="1"/>
      <c r="R71" s="1"/>
      <c r="S71" s="1"/>
      <c r="T71" s="1"/>
      <c r="U71" s="1"/>
      <c r="V71" s="1"/>
      <c r="W71" s="1"/>
      <c r="X71" s="1"/>
      <c r="Y71" s="1"/>
      <c r="Z71" s="1"/>
      <c r="AA71" s="1"/>
      <c r="AB71" s="1"/>
      <c r="AC71" s="1"/>
      <c r="AD71" s="1"/>
      <c r="AE71" s="1"/>
      <c r="AF71" s="1"/>
      <c r="AG71" s="1"/>
      <c r="AH71" s="1"/>
    </row>
    <row r="72" spans="1:43" ht="15" customHeight="1" x14ac:dyDescent="0.3">
      <c r="A72" s="1"/>
      <c r="B72" s="1623"/>
      <c r="C72" s="1"/>
      <c r="D72" s="775"/>
      <c r="E72" s="869" t="s">
        <v>1233</v>
      </c>
      <c r="F72" s="870">
        <f>SUM(F69:F71)</f>
        <v>0</v>
      </c>
      <c r="G72" s="864" t="s">
        <v>22</v>
      </c>
      <c r="H72" s="870">
        <f t="shared" ref="H72" si="0">SUM(H69:H71)</f>
        <v>0</v>
      </c>
      <c r="I72" s="864" t="s">
        <v>22</v>
      </c>
      <c r="J72" s="868"/>
      <c r="K72" s="1"/>
      <c r="L72" s="1621"/>
      <c r="M72" s="1"/>
      <c r="N72" s="808"/>
      <c r="O72" s="1"/>
      <c r="P72" s="1"/>
      <c r="Q72" s="1"/>
      <c r="R72" s="1"/>
      <c r="S72" s="1"/>
      <c r="T72" s="1"/>
      <c r="U72" s="1"/>
      <c r="V72" s="1"/>
      <c r="W72" s="1"/>
      <c r="X72" s="1"/>
      <c r="Y72" s="1"/>
      <c r="Z72" s="1"/>
      <c r="AA72" s="1"/>
      <c r="AB72" s="1"/>
      <c r="AC72" s="1"/>
      <c r="AD72" s="1"/>
      <c r="AE72" s="1"/>
      <c r="AF72" s="1"/>
      <c r="AG72" s="1"/>
      <c r="AH72" s="1"/>
    </row>
    <row r="73" spans="1:43" ht="15" customHeight="1" x14ac:dyDescent="0.3">
      <c r="A73" s="1"/>
      <c r="B73" s="1623"/>
      <c r="C73" s="1"/>
      <c r="D73" s="775"/>
      <c r="E73" s="1565" t="s">
        <v>1234</v>
      </c>
      <c r="F73" s="872">
        <f>Area_Hardscape_Total_Post_Development</f>
        <v>0</v>
      </c>
      <c r="G73" s="864" t="s">
        <v>22</v>
      </c>
      <c r="H73" s="872">
        <f>Area_Hardscape_Total_Pre_Development</f>
        <v>0</v>
      </c>
      <c r="I73" s="864" t="s">
        <v>22</v>
      </c>
      <c r="J73" s="868"/>
      <c r="K73" s="1"/>
      <c r="L73" s="1621"/>
      <c r="M73" s="1"/>
      <c r="N73" s="808"/>
      <c r="O73" s="1"/>
      <c r="P73" s="1"/>
      <c r="Q73" s="1"/>
      <c r="R73" s="1"/>
      <c r="S73" s="1"/>
      <c r="T73" s="1"/>
      <c r="U73" s="1"/>
      <c r="V73" s="1"/>
      <c r="W73" s="1"/>
      <c r="X73" s="1"/>
      <c r="Y73" s="1"/>
      <c r="Z73" s="1"/>
      <c r="AA73" s="1"/>
      <c r="AB73" s="1"/>
      <c r="AC73" s="1"/>
      <c r="AD73" s="1"/>
      <c r="AE73" s="1"/>
      <c r="AF73" s="1"/>
      <c r="AG73" s="1"/>
      <c r="AH73" s="1"/>
    </row>
    <row r="74" spans="1:43" ht="15" customHeight="1" thickBot="1" x14ac:dyDescent="0.35">
      <c r="A74" s="1"/>
      <c r="B74" s="1623"/>
      <c r="C74" s="1"/>
      <c r="D74" s="775"/>
      <c r="E74" s="1567" t="s">
        <v>1242</v>
      </c>
      <c r="F74" s="873"/>
      <c r="G74" s="865"/>
      <c r="H74" s="873"/>
      <c r="I74" s="871"/>
      <c r="J74" s="868"/>
      <c r="K74" s="1"/>
      <c r="L74" s="1621"/>
      <c r="M74" s="1"/>
      <c r="N74" s="808"/>
      <c r="O74" s="1"/>
      <c r="P74" s="1"/>
      <c r="Q74" s="1"/>
      <c r="R74" s="1"/>
      <c r="S74" s="1"/>
      <c r="T74" s="1"/>
      <c r="U74" s="1"/>
      <c r="V74" s="1"/>
      <c r="W74" s="1"/>
      <c r="X74" s="1"/>
      <c r="Y74" s="1"/>
      <c r="Z74" s="1"/>
      <c r="AA74" s="1"/>
      <c r="AB74" s="1"/>
      <c r="AC74" s="1"/>
      <c r="AD74" s="1"/>
      <c r="AE74" s="1"/>
      <c r="AF74" s="1"/>
      <c r="AG74" s="1"/>
      <c r="AH74" s="1"/>
    </row>
    <row r="75" spans="1:43" ht="15" customHeight="1" thickBot="1" x14ac:dyDescent="0.35">
      <c r="A75" s="1"/>
      <c r="B75" s="1623"/>
      <c r="C75" s="1"/>
      <c r="D75" s="775"/>
      <c r="E75" s="874" t="s">
        <v>1235</v>
      </c>
      <c r="F75" s="875">
        <f>IFERROR(F72/Area_Hardscape_Total_Post_Development,0)</f>
        <v>0</v>
      </c>
      <c r="G75" s="876"/>
      <c r="H75" s="875">
        <f>IFERROR(H72/Area_Hardscape_Total_Pre_Development,0)</f>
        <v>0</v>
      </c>
      <c r="I75" s="871"/>
      <c r="J75" s="868"/>
      <c r="K75" s="1"/>
      <c r="L75" s="1621"/>
      <c r="M75" s="1"/>
      <c r="N75" s="808"/>
      <c r="O75" s="1"/>
      <c r="P75" s="1"/>
      <c r="Q75" s="1"/>
      <c r="R75" s="1"/>
      <c r="S75" s="1"/>
      <c r="T75" s="1"/>
      <c r="U75" s="1"/>
      <c r="V75" s="1"/>
      <c r="W75" s="1"/>
      <c r="X75" s="1"/>
      <c r="Y75" s="1"/>
      <c r="Z75" s="1"/>
      <c r="AA75" s="1"/>
      <c r="AB75" s="1"/>
      <c r="AC75" s="1"/>
      <c r="AD75" s="1"/>
      <c r="AE75" s="1"/>
      <c r="AF75" s="1"/>
      <c r="AG75" s="1"/>
      <c r="AH75" s="1"/>
    </row>
    <row r="76" spans="1:43" ht="15" customHeight="1" thickBot="1" x14ac:dyDescent="0.35">
      <c r="A76" s="1"/>
      <c r="B76" s="1623"/>
      <c r="C76" s="1"/>
      <c r="D76" s="775"/>
      <c r="E76" s="877"/>
      <c r="F76" s="878"/>
      <c r="G76" s="878"/>
      <c r="H76" s="878"/>
      <c r="I76" s="871"/>
      <c r="J76" s="868"/>
      <c r="K76" s="1"/>
      <c r="L76" s="1621"/>
      <c r="M76" s="1"/>
      <c r="N76" s="808"/>
      <c r="O76" s="1"/>
      <c r="P76" s="1"/>
      <c r="Q76" s="1"/>
      <c r="R76" s="1"/>
      <c r="S76" s="1"/>
      <c r="T76" s="1"/>
      <c r="U76" s="1"/>
      <c r="V76" s="1"/>
      <c r="W76" s="1"/>
      <c r="X76" s="1"/>
      <c r="Y76" s="1"/>
      <c r="Z76" s="1"/>
      <c r="AA76" s="1"/>
      <c r="AB76" s="1"/>
      <c r="AC76" s="1"/>
      <c r="AD76" s="1"/>
      <c r="AE76" s="1"/>
      <c r="AF76" s="1"/>
      <c r="AG76" s="1"/>
      <c r="AH76" s="1"/>
    </row>
    <row r="77" spans="1:43" ht="15" customHeight="1" thickBot="1" x14ac:dyDescent="0.35">
      <c r="A77" s="1"/>
      <c r="B77" s="1623"/>
      <c r="C77" s="1"/>
      <c r="D77" s="775"/>
      <c r="E77" s="874" t="s">
        <v>1034</v>
      </c>
      <c r="F77" s="469">
        <f>IFERROR(F75-H75,"")</f>
        <v>0</v>
      </c>
      <c r="G77" s="878"/>
      <c r="H77" s="878"/>
      <c r="I77" s="879"/>
      <c r="J77" s="880"/>
      <c r="K77" s="1"/>
      <c r="L77" s="1621"/>
      <c r="M77" s="1"/>
      <c r="N77" s="808"/>
      <c r="O77" s="1"/>
      <c r="P77" s="1"/>
      <c r="Q77" s="1"/>
      <c r="R77" s="1"/>
      <c r="S77" s="1"/>
      <c r="T77" s="1"/>
      <c r="U77" s="1"/>
      <c r="V77" s="1"/>
      <c r="W77" s="1"/>
      <c r="X77" s="1"/>
      <c r="Y77" s="1"/>
      <c r="Z77" s="1"/>
      <c r="AA77" s="1"/>
      <c r="AB77" s="1"/>
      <c r="AC77" s="1"/>
      <c r="AD77" s="1"/>
      <c r="AE77" s="1"/>
      <c r="AF77" s="1"/>
      <c r="AG77" s="1"/>
      <c r="AH77" s="1"/>
    </row>
    <row r="78" spans="1:43" ht="15" customHeight="1" x14ac:dyDescent="0.3">
      <c r="A78" s="1"/>
      <c r="B78" s="1623"/>
      <c r="C78" s="1"/>
      <c r="D78" s="881"/>
      <c r="E78" s="882"/>
      <c r="F78" s="883"/>
      <c r="G78" s="882"/>
      <c r="H78" s="883"/>
      <c r="I78" s="882"/>
      <c r="J78" s="884"/>
      <c r="K78" s="1"/>
      <c r="L78" s="1621"/>
      <c r="M78" s="1"/>
      <c r="N78" s="808"/>
      <c r="O78" s="1"/>
      <c r="P78" s="1"/>
      <c r="Q78" s="1"/>
      <c r="R78" s="1"/>
      <c r="S78" s="1"/>
      <c r="T78" s="1"/>
      <c r="U78" s="1"/>
      <c r="V78" s="1"/>
      <c r="W78" s="1"/>
      <c r="X78" s="1"/>
      <c r="Y78" s="1"/>
      <c r="Z78" s="1"/>
      <c r="AA78" s="1"/>
      <c r="AB78" s="1"/>
      <c r="AC78" s="1"/>
      <c r="AD78" s="1"/>
      <c r="AE78" s="1"/>
      <c r="AF78" s="1"/>
      <c r="AG78" s="1"/>
      <c r="AH78" s="1"/>
    </row>
    <row r="79" spans="1:43" ht="15" customHeight="1" x14ac:dyDescent="0.3">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row>
    <row r="80" spans="1:43" ht="15" customHeight="1" x14ac:dyDescent="0.3">
      <c r="A80" s="1"/>
      <c r="B80" s="1622" t="s">
        <v>692</v>
      </c>
      <c r="C80" s="1"/>
      <c r="D80" s="1656" t="s">
        <v>1024</v>
      </c>
      <c r="E80" s="1657"/>
      <c r="F80" s="1657"/>
      <c r="G80" s="1657"/>
      <c r="H80" s="1657"/>
      <c r="I80" s="1657"/>
      <c r="J80" s="1658"/>
      <c r="K80" s="1"/>
      <c r="L80" s="842"/>
      <c r="M80" s="1"/>
      <c r="N80" s="75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row>
    <row r="81" spans="1:43" ht="15" customHeight="1" x14ac:dyDescent="0.3">
      <c r="A81" s="1"/>
      <c r="B81" s="1623"/>
      <c r="C81" s="1"/>
      <c r="D81" s="771"/>
      <c r="E81" s="772"/>
      <c r="F81" s="773"/>
      <c r="G81" s="772"/>
      <c r="H81" s="773"/>
      <c r="I81" s="772"/>
      <c r="J81" s="774"/>
      <c r="K81" s="1"/>
      <c r="L81" s="842"/>
      <c r="M81" s="1"/>
      <c r="N81" s="75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row>
    <row r="82" spans="1:43" ht="15" customHeight="1" x14ac:dyDescent="0.3">
      <c r="A82" s="1"/>
      <c r="B82" s="1623"/>
      <c r="C82" s="1"/>
      <c r="D82" s="786"/>
      <c r="E82" s="1647"/>
      <c r="F82" s="1648"/>
      <c r="G82" s="1648"/>
      <c r="H82" s="1648"/>
      <c r="I82" s="1649"/>
      <c r="J82" s="885"/>
      <c r="K82" s="1"/>
      <c r="L82" s="842"/>
      <c r="M82" s="1"/>
      <c r="N82" s="75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row>
    <row r="83" spans="1:43" ht="15" customHeight="1" x14ac:dyDescent="0.3">
      <c r="A83" s="1"/>
      <c r="B83" s="1623"/>
      <c r="C83" s="1"/>
      <c r="D83" s="786"/>
      <c r="E83" s="1650"/>
      <c r="F83" s="1651"/>
      <c r="G83" s="1651"/>
      <c r="H83" s="1651"/>
      <c r="I83" s="1652"/>
      <c r="J83" s="885"/>
      <c r="K83" s="1"/>
      <c r="L83" s="842"/>
      <c r="M83" s="1"/>
      <c r="N83" s="75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row>
    <row r="84" spans="1:43" ht="15" customHeight="1" x14ac:dyDescent="0.3">
      <c r="A84" s="1"/>
      <c r="B84" s="1623"/>
      <c r="C84" s="1"/>
      <c r="D84" s="786"/>
      <c r="E84" s="1650"/>
      <c r="F84" s="1651"/>
      <c r="G84" s="1651"/>
      <c r="H84" s="1651"/>
      <c r="I84" s="1652"/>
      <c r="J84" s="885"/>
      <c r="K84" s="1"/>
      <c r="L84" s="842"/>
      <c r="M84" s="1"/>
      <c r="N84" s="75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row>
    <row r="85" spans="1:43" ht="15" customHeight="1" x14ac:dyDescent="0.3">
      <c r="A85" s="1"/>
      <c r="B85" s="1623"/>
      <c r="C85" s="1"/>
      <c r="D85" s="786"/>
      <c r="E85" s="1650"/>
      <c r="F85" s="1651"/>
      <c r="G85" s="1651"/>
      <c r="H85" s="1651"/>
      <c r="I85" s="1652"/>
      <c r="J85" s="885"/>
      <c r="K85" s="1"/>
      <c r="L85" s="842"/>
      <c r="M85" s="1"/>
      <c r="N85" s="75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row>
    <row r="86" spans="1:43" ht="15" customHeight="1" x14ac:dyDescent="0.3">
      <c r="A86" s="1"/>
      <c r="B86" s="1623"/>
      <c r="C86" s="1"/>
      <c r="D86" s="786"/>
      <c r="E86" s="1650"/>
      <c r="F86" s="1651"/>
      <c r="G86" s="1651"/>
      <c r="H86" s="1651"/>
      <c r="I86" s="1652"/>
      <c r="J86" s="885"/>
      <c r="K86" s="1"/>
      <c r="L86" s="842"/>
      <c r="M86" s="1"/>
      <c r="N86" s="75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row>
    <row r="87" spans="1:43" ht="15" customHeight="1" x14ac:dyDescent="0.3">
      <c r="A87" s="1"/>
      <c r="B87" s="1623"/>
      <c r="C87" s="1"/>
      <c r="D87" s="786"/>
      <c r="E87" s="1653"/>
      <c r="F87" s="1654"/>
      <c r="G87" s="1654"/>
      <c r="H87" s="1654"/>
      <c r="I87" s="1655"/>
      <c r="J87" s="885"/>
      <c r="K87" s="1"/>
      <c r="L87" s="842"/>
      <c r="M87" s="1"/>
      <c r="N87" s="75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row>
    <row r="88" spans="1:43" ht="15" customHeight="1" x14ac:dyDescent="0.3">
      <c r="A88" s="1"/>
      <c r="B88" s="1623"/>
      <c r="C88" s="1"/>
      <c r="D88" s="803"/>
      <c r="E88" s="782"/>
      <c r="F88" s="781"/>
      <c r="G88" s="782"/>
      <c r="H88" s="781"/>
      <c r="I88" s="782"/>
      <c r="J88" s="783"/>
      <c r="K88" s="1"/>
      <c r="L88" s="842"/>
      <c r="M88" s="1"/>
      <c r="N88" s="75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row>
    <row r="89" spans="1:43" ht="15" customHeight="1" x14ac:dyDescent="0.3">
      <c r="A89" s="1"/>
      <c r="B89" s="1"/>
      <c r="C89" s="1"/>
      <c r="D89" s="1"/>
      <c r="E89" s="1"/>
      <c r="F89" s="744"/>
      <c r="G89" s="1"/>
      <c r="H89" s="744"/>
      <c r="I89" s="1"/>
      <c r="J89" s="1"/>
      <c r="K89" s="1"/>
      <c r="L89" s="1"/>
      <c r="M89" s="1"/>
      <c r="N89" s="1"/>
      <c r="O89" s="1"/>
      <c r="P89" s="1"/>
      <c r="Q89" s="1"/>
      <c r="R89" s="1"/>
      <c r="S89" s="1"/>
      <c r="T89" s="1"/>
      <c r="U89" s="1"/>
      <c r="V89" s="1"/>
      <c r="W89" s="1"/>
      <c r="X89" s="1"/>
      <c r="Y89" s="1"/>
      <c r="Z89" s="1"/>
      <c r="AA89" s="1"/>
      <c r="AB89" s="1"/>
      <c r="AC89" s="1"/>
      <c r="AD89" s="1"/>
      <c r="AE89" s="1"/>
      <c r="AF89" s="1"/>
      <c r="AG89" s="1"/>
      <c r="AH89" s="1"/>
    </row>
    <row r="90" spans="1:43" ht="15" customHeight="1" x14ac:dyDescent="0.3">
      <c r="A90" s="1"/>
      <c r="B90" s="1"/>
      <c r="C90" s="1"/>
      <c r="D90" s="1"/>
      <c r="E90" s="1"/>
      <c r="F90" s="744"/>
      <c r="G90" s="1"/>
      <c r="H90" s="744"/>
      <c r="I90" s="1"/>
      <c r="J90" s="1"/>
      <c r="K90" s="1"/>
      <c r="L90" s="1"/>
      <c r="M90" s="1"/>
      <c r="N90" s="1"/>
      <c r="O90" s="1"/>
      <c r="P90" s="1"/>
      <c r="Q90" s="1"/>
      <c r="R90" s="1"/>
      <c r="S90" s="1"/>
      <c r="T90" s="1"/>
      <c r="U90" s="1"/>
      <c r="V90" s="1"/>
      <c r="W90" s="1"/>
      <c r="X90" s="1"/>
      <c r="Y90" s="1"/>
      <c r="Z90" s="1"/>
      <c r="AA90" s="1"/>
      <c r="AB90" s="1"/>
      <c r="AC90" s="1"/>
      <c r="AD90" s="1"/>
      <c r="AE90" s="1"/>
      <c r="AF90" s="1"/>
      <c r="AG90" s="1"/>
      <c r="AH90" s="1"/>
    </row>
    <row r="91" spans="1:43" ht="15" customHeight="1" x14ac:dyDescent="0.3">
      <c r="A91" s="1"/>
      <c r="B91" s="1"/>
      <c r="C91" s="1"/>
      <c r="D91" s="1"/>
      <c r="E91" s="1"/>
      <c r="F91" s="744"/>
      <c r="G91" s="1"/>
      <c r="H91" s="744"/>
      <c r="I91" s="1"/>
      <c r="J91" s="1"/>
      <c r="K91" s="1"/>
      <c r="L91" s="1"/>
      <c r="M91" s="1"/>
      <c r="N91" s="1"/>
      <c r="O91" s="1"/>
      <c r="P91" s="1"/>
      <c r="Q91" s="1"/>
      <c r="R91" s="1"/>
      <c r="S91" s="1"/>
      <c r="T91" s="1"/>
      <c r="U91" s="1"/>
      <c r="V91" s="1"/>
      <c r="W91" s="1"/>
      <c r="X91" s="1"/>
      <c r="Y91" s="1"/>
      <c r="Z91" s="1"/>
      <c r="AA91" s="1"/>
      <c r="AB91" s="1"/>
      <c r="AC91" s="1"/>
      <c r="AD91" s="1"/>
      <c r="AE91" s="1"/>
      <c r="AF91" s="1"/>
      <c r="AG91" s="1"/>
      <c r="AH91" s="1"/>
    </row>
    <row r="92" spans="1:43" ht="15" customHeight="1" x14ac:dyDescent="0.3">
      <c r="A92" s="1"/>
      <c r="B92" s="1"/>
      <c r="C92" s="1"/>
      <c r="D92" s="1"/>
      <c r="E92" s="1"/>
      <c r="F92" s="744"/>
      <c r="G92" s="1"/>
      <c r="H92" s="744"/>
      <c r="I92" s="1"/>
      <c r="J92" s="1"/>
      <c r="K92" s="1"/>
      <c r="L92" s="1"/>
      <c r="M92" s="1"/>
      <c r="N92" s="1"/>
      <c r="O92" s="1"/>
      <c r="P92" s="1"/>
      <c r="Q92" s="1"/>
      <c r="R92" s="1"/>
      <c r="S92" s="1"/>
      <c r="T92" s="1"/>
      <c r="U92" s="1"/>
      <c r="V92" s="1"/>
      <c r="W92" s="1"/>
      <c r="X92" s="1"/>
      <c r="Y92" s="1"/>
      <c r="Z92" s="1"/>
      <c r="AA92" s="1"/>
      <c r="AB92" s="1"/>
      <c r="AC92" s="1"/>
      <c r="AD92" s="1"/>
      <c r="AE92" s="1"/>
      <c r="AF92" s="1"/>
      <c r="AG92" s="1"/>
      <c r="AH92" s="1"/>
    </row>
    <row r="93" spans="1:43" ht="15" customHeight="1" x14ac:dyDescent="0.3">
      <c r="A93" s="1"/>
      <c r="B93" s="1"/>
      <c r="C93" s="1"/>
      <c r="D93" s="1"/>
      <c r="E93" s="1"/>
      <c r="F93" s="744"/>
      <c r="G93" s="1"/>
      <c r="H93" s="744"/>
      <c r="I93" s="1"/>
      <c r="J93" s="1"/>
      <c r="K93" s="1"/>
      <c r="L93" s="1"/>
      <c r="M93" s="1"/>
      <c r="N93" s="1"/>
      <c r="O93" s="1"/>
      <c r="P93" s="1"/>
      <c r="Q93" s="1"/>
      <c r="R93" s="1"/>
      <c r="S93" s="1"/>
      <c r="T93" s="1"/>
      <c r="U93" s="1"/>
      <c r="V93" s="1"/>
      <c r="W93" s="1"/>
      <c r="X93" s="1"/>
      <c r="Y93" s="1"/>
      <c r="Z93" s="1"/>
      <c r="AA93" s="1"/>
      <c r="AB93" s="1"/>
      <c r="AC93" s="1"/>
      <c r="AD93" s="1"/>
      <c r="AE93" s="1"/>
      <c r="AF93" s="1"/>
      <c r="AG93" s="1"/>
      <c r="AH93" s="1"/>
    </row>
    <row r="94" spans="1:43" ht="15" customHeight="1" x14ac:dyDescent="0.3">
      <c r="A94" s="1"/>
      <c r="B94" s="1"/>
      <c r="C94" s="1"/>
      <c r="D94" s="1"/>
      <c r="E94" s="1"/>
      <c r="F94" s="744"/>
      <c r="G94" s="1"/>
      <c r="H94" s="744"/>
      <c r="I94" s="1"/>
      <c r="J94" s="1"/>
      <c r="K94" s="1"/>
      <c r="L94" s="1"/>
      <c r="M94" s="1"/>
      <c r="N94" s="1"/>
      <c r="O94" s="1"/>
      <c r="P94" s="1"/>
      <c r="Q94" s="1"/>
      <c r="R94" s="1"/>
      <c r="S94" s="1"/>
      <c r="T94" s="1"/>
      <c r="U94" s="1"/>
      <c r="V94" s="1"/>
      <c r="W94" s="1"/>
      <c r="X94" s="1"/>
      <c r="Y94" s="1"/>
      <c r="Z94" s="1"/>
      <c r="AA94" s="1"/>
      <c r="AB94" s="1"/>
      <c r="AC94" s="1"/>
      <c r="AD94" s="1"/>
      <c r="AE94" s="1"/>
      <c r="AF94" s="1"/>
      <c r="AG94" s="1"/>
      <c r="AH94" s="1"/>
    </row>
    <row r="95" spans="1:43" ht="15" customHeight="1" x14ac:dyDescent="0.3">
      <c r="A95" s="1"/>
      <c r="B95" s="1"/>
      <c r="C95" s="1"/>
      <c r="D95" s="1"/>
      <c r="E95" s="1"/>
      <c r="F95" s="744"/>
      <c r="G95" s="1"/>
      <c r="H95" s="744"/>
      <c r="I95" s="1"/>
      <c r="J95" s="1"/>
      <c r="K95" s="1"/>
      <c r="L95" s="1"/>
      <c r="M95" s="1"/>
      <c r="N95" s="1"/>
      <c r="O95" s="1"/>
      <c r="P95" s="1"/>
      <c r="Q95" s="1"/>
      <c r="R95" s="1"/>
      <c r="S95" s="1"/>
      <c r="T95" s="1"/>
      <c r="U95" s="1"/>
      <c r="V95" s="1"/>
      <c r="W95" s="1"/>
      <c r="X95" s="1"/>
      <c r="Y95" s="1"/>
      <c r="Z95" s="1"/>
      <c r="AA95" s="1"/>
      <c r="AB95" s="1"/>
      <c r="AC95" s="1"/>
      <c r="AD95" s="1"/>
      <c r="AE95" s="1"/>
      <c r="AF95" s="1"/>
      <c r="AG95" s="1"/>
      <c r="AH95" s="1"/>
    </row>
    <row r="96" spans="1:43" ht="15" customHeight="1" x14ac:dyDescent="0.3">
      <c r="A96" s="1"/>
      <c r="B96" s="1"/>
      <c r="C96" s="1"/>
      <c r="D96" s="1"/>
      <c r="E96" s="1"/>
      <c r="F96" s="744"/>
      <c r="G96" s="1"/>
      <c r="H96" s="744"/>
      <c r="I96" s="1"/>
      <c r="J96" s="1"/>
      <c r="K96" s="1"/>
      <c r="L96" s="1"/>
      <c r="M96" s="1"/>
      <c r="N96" s="1"/>
      <c r="O96" s="1"/>
      <c r="P96" s="1"/>
      <c r="Q96" s="1"/>
      <c r="R96" s="1"/>
      <c r="S96" s="1"/>
      <c r="T96" s="1"/>
      <c r="U96" s="1"/>
      <c r="V96" s="1"/>
      <c r="W96" s="1"/>
      <c r="X96" s="1"/>
      <c r="Y96" s="1"/>
      <c r="Z96" s="1"/>
      <c r="AA96" s="1"/>
      <c r="AB96" s="1"/>
      <c r="AC96" s="1"/>
      <c r="AD96" s="1"/>
      <c r="AE96" s="1"/>
      <c r="AF96" s="1"/>
      <c r="AG96" s="1"/>
      <c r="AH96" s="1"/>
    </row>
    <row r="97" spans="1:34" ht="15" customHeight="1" x14ac:dyDescent="0.3">
      <c r="A97" s="1"/>
      <c r="B97" s="1"/>
      <c r="C97" s="1"/>
      <c r="D97" s="1"/>
      <c r="E97" s="1"/>
      <c r="F97" s="744"/>
      <c r="G97" s="1"/>
      <c r="H97" s="744"/>
      <c r="I97" s="1"/>
      <c r="J97" s="1"/>
      <c r="K97" s="1"/>
      <c r="L97" s="1"/>
      <c r="M97" s="1"/>
      <c r="N97" s="1"/>
      <c r="O97" s="1"/>
      <c r="P97" s="1"/>
      <c r="Q97" s="1"/>
      <c r="R97" s="1"/>
      <c r="S97" s="1"/>
      <c r="T97" s="1"/>
      <c r="U97" s="1"/>
      <c r="V97" s="1"/>
      <c r="W97" s="1"/>
      <c r="X97" s="1"/>
      <c r="Y97" s="1"/>
      <c r="Z97" s="1"/>
      <c r="AA97" s="1"/>
      <c r="AB97" s="1"/>
      <c r="AC97" s="1"/>
      <c r="AD97" s="1"/>
      <c r="AE97" s="1"/>
      <c r="AF97" s="1"/>
      <c r="AG97" s="1"/>
      <c r="AH97" s="1"/>
    </row>
    <row r="98" spans="1:34" ht="15" customHeight="1" x14ac:dyDescent="0.3">
      <c r="A98" s="1"/>
      <c r="B98" s="1"/>
      <c r="C98" s="1"/>
      <c r="D98" s="1"/>
      <c r="E98" s="1"/>
      <c r="F98" s="744"/>
      <c r="G98" s="1"/>
      <c r="H98" s="744"/>
      <c r="I98" s="1"/>
      <c r="J98" s="1"/>
      <c r="K98" s="1"/>
      <c r="L98" s="1"/>
      <c r="M98" s="1"/>
      <c r="N98" s="1"/>
      <c r="O98" s="1"/>
      <c r="P98" s="1"/>
      <c r="Q98" s="1"/>
      <c r="R98" s="1"/>
      <c r="S98" s="1"/>
      <c r="T98" s="1"/>
      <c r="U98" s="1"/>
      <c r="V98" s="1"/>
      <c r="W98" s="1"/>
      <c r="X98" s="1"/>
      <c r="Y98" s="1"/>
      <c r="Z98" s="1"/>
      <c r="AA98" s="1"/>
      <c r="AB98" s="1"/>
      <c r="AC98" s="1"/>
      <c r="AD98" s="1"/>
      <c r="AE98" s="1"/>
      <c r="AF98" s="1"/>
      <c r="AG98" s="1"/>
      <c r="AH98" s="1"/>
    </row>
    <row r="99" spans="1:34" ht="15" customHeight="1" x14ac:dyDescent="0.3">
      <c r="A99" s="1"/>
      <c r="B99" s="1"/>
      <c r="C99" s="1"/>
      <c r="D99" s="1"/>
      <c r="E99" s="1"/>
      <c r="F99" s="744"/>
      <c r="G99" s="1"/>
      <c r="H99" s="744"/>
      <c r="I99" s="1"/>
      <c r="J99" s="1"/>
      <c r="K99" s="1"/>
      <c r="L99" s="1"/>
      <c r="M99" s="1"/>
      <c r="N99" s="1"/>
      <c r="O99" s="1"/>
      <c r="P99" s="1"/>
      <c r="Q99" s="1"/>
      <c r="R99" s="1"/>
      <c r="S99" s="1"/>
      <c r="T99" s="1"/>
      <c r="U99" s="1"/>
      <c r="V99" s="1"/>
      <c r="W99" s="1"/>
      <c r="X99" s="1"/>
      <c r="Y99" s="1"/>
      <c r="Z99" s="1"/>
      <c r="AA99" s="1"/>
      <c r="AB99" s="1"/>
      <c r="AC99" s="1"/>
      <c r="AD99" s="1"/>
      <c r="AE99" s="1"/>
      <c r="AF99" s="1"/>
      <c r="AG99" s="1"/>
      <c r="AH99" s="1"/>
    </row>
    <row r="100" spans="1:34" ht="15" customHeight="1" x14ac:dyDescent="0.3">
      <c r="A100" s="1"/>
      <c r="B100" s="1"/>
      <c r="C100" s="1"/>
      <c r="D100" s="1"/>
      <c r="E100" s="1"/>
      <c r="F100" s="744"/>
      <c r="G100" s="1"/>
      <c r="H100" s="744"/>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row>
    <row r="101" spans="1:34" ht="15" customHeight="1" x14ac:dyDescent="0.3">
      <c r="A101" s="1"/>
      <c r="B101" s="1"/>
      <c r="C101" s="1"/>
      <c r="D101" s="1"/>
      <c r="E101" s="1"/>
      <c r="F101" s="744"/>
      <c r="G101" s="1"/>
      <c r="H101" s="744"/>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row>
    <row r="102" spans="1:34" ht="15" customHeight="1" x14ac:dyDescent="0.3">
      <c r="A102" s="1"/>
      <c r="B102" s="1"/>
      <c r="C102" s="1"/>
      <c r="D102" s="1"/>
      <c r="E102" s="1"/>
      <c r="F102" s="744"/>
      <c r="G102" s="1"/>
      <c r="H102" s="744"/>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row>
    <row r="103" spans="1:34" ht="15" customHeight="1" x14ac:dyDescent="0.3">
      <c r="A103" s="1"/>
      <c r="B103" s="1"/>
      <c r="C103" s="1"/>
      <c r="D103" s="1"/>
      <c r="E103" s="1"/>
      <c r="F103" s="744"/>
      <c r="G103" s="1"/>
      <c r="H103" s="744"/>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row>
    <row r="104" spans="1:34" ht="15" customHeight="1" x14ac:dyDescent="0.3">
      <c r="A104" s="1"/>
      <c r="B104" s="1"/>
      <c r="C104" s="1"/>
      <c r="D104" s="1"/>
      <c r="E104" s="1"/>
      <c r="F104" s="744"/>
      <c r="G104" s="1"/>
      <c r="H104" s="744"/>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row>
    <row r="105" spans="1:34" ht="15" customHeight="1" x14ac:dyDescent="0.3">
      <c r="A105" s="1"/>
      <c r="B105" s="1"/>
      <c r="C105" s="1"/>
      <c r="D105" s="1"/>
      <c r="E105" s="1"/>
      <c r="F105" s="744"/>
      <c r="G105" s="1"/>
      <c r="H105" s="744"/>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row>
    <row r="106" spans="1:34" ht="15" customHeight="1" x14ac:dyDescent="0.3">
      <c r="A106" s="1"/>
      <c r="B106" s="1"/>
      <c r="C106" s="1"/>
      <c r="D106" s="1"/>
      <c r="E106" s="1"/>
      <c r="F106" s="744"/>
      <c r="G106" s="1"/>
      <c r="H106" s="744"/>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row>
    <row r="107" spans="1:34" ht="15" customHeight="1" x14ac:dyDescent="0.3">
      <c r="A107" s="1"/>
      <c r="B107" s="1"/>
      <c r="C107" s="1"/>
      <c r="D107" s="1"/>
      <c r="E107" s="1"/>
      <c r="F107" s="744"/>
      <c r="G107" s="1"/>
      <c r="H107" s="744"/>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row>
    <row r="108" spans="1:34" ht="15" customHeight="1" x14ac:dyDescent="0.3">
      <c r="A108" s="1"/>
      <c r="B108" s="1"/>
      <c r="C108" s="1"/>
      <c r="D108" s="1"/>
      <c r="E108" s="1"/>
      <c r="F108" s="744"/>
      <c r="G108" s="1"/>
      <c r="H108" s="744"/>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row>
    <row r="109" spans="1:34" ht="15" customHeight="1" x14ac:dyDescent="0.3">
      <c r="A109" s="1"/>
      <c r="B109" s="1"/>
      <c r="C109" s="1"/>
      <c r="D109" s="1"/>
      <c r="E109" s="1"/>
      <c r="F109" s="744"/>
      <c r="G109" s="1"/>
      <c r="H109" s="744"/>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row>
    <row r="110" spans="1:34" ht="15" customHeight="1" x14ac:dyDescent="0.3">
      <c r="A110" s="1"/>
      <c r="B110" s="1"/>
      <c r="C110" s="1"/>
      <c r="D110" s="1"/>
      <c r="E110" s="1"/>
      <c r="F110" s="744"/>
      <c r="G110" s="1"/>
      <c r="H110" s="744"/>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row>
    <row r="111" spans="1:34" ht="15" customHeight="1" x14ac:dyDescent="0.3">
      <c r="A111" s="1"/>
      <c r="B111" s="1"/>
      <c r="C111" s="1"/>
      <c r="D111" s="1"/>
      <c r="E111" s="1"/>
      <c r="F111" s="744"/>
      <c r="G111" s="1"/>
      <c r="H111" s="744"/>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row>
    <row r="112" spans="1:34" ht="15" customHeight="1" x14ac:dyDescent="0.3">
      <c r="A112" s="1"/>
      <c r="B112" s="1"/>
      <c r="C112" s="1"/>
      <c r="D112" s="1"/>
      <c r="E112" s="1"/>
      <c r="F112" s="744"/>
      <c r="G112" s="1"/>
      <c r="H112" s="744"/>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row>
    <row r="113" spans="1:34" ht="15" customHeight="1" x14ac:dyDescent="0.3">
      <c r="A113" s="1"/>
      <c r="B113" s="1"/>
      <c r="C113" s="1"/>
      <c r="D113" s="1"/>
      <c r="E113" s="1"/>
      <c r="F113" s="744"/>
      <c r="G113" s="1"/>
      <c r="H113" s="744"/>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row>
    <row r="114" spans="1:34" ht="15" customHeight="1" x14ac:dyDescent="0.3">
      <c r="A114" s="1"/>
      <c r="B114" s="1"/>
      <c r="C114" s="1"/>
      <c r="D114" s="1"/>
      <c r="E114" s="1"/>
      <c r="F114" s="744"/>
      <c r="G114" s="1"/>
      <c r="H114" s="744"/>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row>
    <row r="115" spans="1:34" ht="15" customHeight="1" x14ac:dyDescent="0.3">
      <c r="A115" s="1"/>
      <c r="B115" s="1"/>
      <c r="C115" s="1"/>
      <c r="D115" s="1"/>
      <c r="E115" s="1"/>
      <c r="F115" s="744"/>
      <c r="G115" s="1"/>
      <c r="H115" s="744"/>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row>
    <row r="116" spans="1:34" ht="15" customHeight="1" x14ac:dyDescent="0.3">
      <c r="A116" s="1"/>
      <c r="B116" s="1"/>
      <c r="C116" s="1"/>
      <c r="D116" s="1"/>
      <c r="E116" s="1"/>
      <c r="F116" s="744"/>
      <c r="G116" s="1"/>
      <c r="H116" s="744"/>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row>
    <row r="117" spans="1:34" ht="15" customHeight="1" x14ac:dyDescent="0.3">
      <c r="A117" s="1"/>
      <c r="B117" s="1"/>
      <c r="C117" s="1"/>
      <c r="D117" s="1"/>
      <c r="E117" s="1"/>
      <c r="F117" s="744"/>
      <c r="G117" s="1"/>
      <c r="H117" s="744"/>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row>
    <row r="118" spans="1:34" ht="15" customHeight="1" x14ac:dyDescent="0.3">
      <c r="A118" s="1"/>
      <c r="B118" s="1"/>
      <c r="C118" s="1"/>
      <c r="D118" s="1"/>
      <c r="E118" s="1"/>
      <c r="F118" s="744"/>
      <c r="G118" s="1"/>
      <c r="H118" s="744"/>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row>
    <row r="119" spans="1:34" ht="15" customHeight="1" x14ac:dyDescent="0.3">
      <c r="A119" s="1"/>
      <c r="B119" s="1"/>
      <c r="C119" s="1"/>
      <c r="D119" s="1"/>
      <c r="E119" s="1"/>
      <c r="F119" s="744"/>
      <c r="G119" s="1"/>
      <c r="H119" s="744"/>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row>
    <row r="120" spans="1:34" ht="15" customHeight="1" x14ac:dyDescent="0.3">
      <c r="A120" s="1"/>
      <c r="B120" s="1"/>
      <c r="C120" s="1"/>
      <c r="D120" s="1"/>
      <c r="E120" s="1"/>
      <c r="F120" s="744"/>
      <c r="G120" s="1"/>
      <c r="H120" s="744"/>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row>
    <row r="121" spans="1:34" ht="15" customHeight="1" x14ac:dyDescent="0.3">
      <c r="A121" s="1"/>
      <c r="B121" s="1"/>
      <c r="C121" s="1"/>
      <c r="D121" s="1"/>
      <c r="E121" s="1"/>
      <c r="F121" s="744"/>
      <c r="G121" s="1"/>
      <c r="H121" s="744"/>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row>
    <row r="122" spans="1:34" ht="15" customHeight="1" x14ac:dyDescent="0.3">
      <c r="A122" s="1"/>
      <c r="B122" s="1"/>
      <c r="C122" s="1"/>
      <c r="D122" s="1"/>
      <c r="E122" s="1"/>
      <c r="F122" s="744"/>
      <c r="G122" s="1"/>
      <c r="H122" s="744"/>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row>
    <row r="123" spans="1:34" ht="15" customHeight="1" x14ac:dyDescent="0.3">
      <c r="A123" s="1"/>
      <c r="B123" s="1"/>
      <c r="C123" s="1"/>
      <c r="D123" s="1"/>
      <c r="E123" s="1"/>
      <c r="F123" s="744"/>
      <c r="G123" s="1"/>
      <c r="H123" s="744"/>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row>
    <row r="124" spans="1:34" ht="15" customHeight="1" x14ac:dyDescent="0.3">
      <c r="A124" s="1"/>
      <c r="B124" s="1"/>
      <c r="C124" s="1"/>
      <c r="D124" s="1"/>
      <c r="E124" s="1"/>
      <c r="F124" s="744"/>
      <c r="G124" s="1"/>
      <c r="H124" s="744"/>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row>
    <row r="125" spans="1:34" ht="15" customHeight="1" x14ac:dyDescent="0.3">
      <c r="A125" s="1"/>
      <c r="B125" s="1"/>
      <c r="C125" s="1"/>
      <c r="D125" s="1"/>
      <c r="E125" s="1"/>
      <c r="F125" s="744"/>
      <c r="G125" s="1"/>
      <c r="H125" s="744"/>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row>
    <row r="126" spans="1:34" ht="15" customHeight="1" x14ac:dyDescent="0.3">
      <c r="A126" s="1"/>
      <c r="B126" s="1"/>
      <c r="C126" s="1"/>
      <c r="D126" s="1"/>
      <c r="E126" s="1"/>
      <c r="F126" s="744"/>
      <c r="G126" s="1"/>
      <c r="H126" s="744"/>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row>
    <row r="127" spans="1:34" ht="15" customHeight="1" x14ac:dyDescent="0.3">
      <c r="A127" s="1"/>
      <c r="B127" s="1"/>
      <c r="C127" s="1"/>
      <c r="D127" s="1"/>
      <c r="E127" s="1"/>
      <c r="F127" s="744"/>
      <c r="G127" s="1"/>
      <c r="H127" s="744"/>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row>
    <row r="128" spans="1:34" ht="15" customHeight="1" x14ac:dyDescent="0.3">
      <c r="A128" s="1"/>
      <c r="B128" s="1"/>
      <c r="C128" s="1"/>
      <c r="D128" s="1"/>
      <c r="E128" s="1"/>
      <c r="F128" s="744"/>
      <c r="G128" s="1"/>
      <c r="H128" s="744"/>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row>
    <row r="129" spans="1:34" ht="15" customHeight="1" x14ac:dyDescent="0.3">
      <c r="A129" s="1"/>
      <c r="B129" s="1"/>
      <c r="C129" s="1"/>
      <c r="D129" s="1"/>
      <c r="E129" s="1"/>
      <c r="F129" s="744"/>
      <c r="G129" s="1"/>
      <c r="H129" s="744"/>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row>
    <row r="130" spans="1:34" ht="15" customHeight="1" x14ac:dyDescent="0.3">
      <c r="A130" s="1"/>
      <c r="B130" s="1"/>
      <c r="C130" s="1"/>
      <c r="D130" s="1"/>
      <c r="E130" s="1"/>
      <c r="F130" s="744"/>
      <c r="G130" s="1"/>
      <c r="H130" s="744"/>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row>
    <row r="131" spans="1:34" ht="15" customHeight="1" x14ac:dyDescent="0.3">
      <c r="A131" s="1"/>
      <c r="B131" s="1"/>
      <c r="C131" s="1"/>
      <c r="D131" s="1"/>
      <c r="E131" s="1"/>
      <c r="F131" s="744"/>
      <c r="G131" s="1"/>
      <c r="H131" s="744"/>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row>
    <row r="132" spans="1:34" ht="15" customHeight="1" x14ac:dyDescent="0.3">
      <c r="A132" s="1"/>
      <c r="B132" s="1"/>
      <c r="C132" s="1"/>
      <c r="D132" s="1"/>
      <c r="E132" s="1"/>
      <c r="F132" s="744"/>
      <c r="G132" s="1"/>
      <c r="H132" s="744"/>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row>
    <row r="133" spans="1:34" ht="15" customHeight="1" x14ac:dyDescent="0.3">
      <c r="A133" s="1"/>
      <c r="B133" s="1"/>
      <c r="C133" s="1"/>
      <c r="D133" s="1"/>
      <c r="E133" s="1"/>
      <c r="F133" s="744"/>
      <c r="G133" s="1"/>
      <c r="H133" s="744"/>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row>
    <row r="134" spans="1:34" ht="15" customHeight="1" x14ac:dyDescent="0.3">
      <c r="A134" s="1"/>
      <c r="B134" s="1"/>
      <c r="C134" s="1"/>
      <c r="D134" s="1"/>
      <c r="E134" s="1"/>
      <c r="F134" s="744"/>
      <c r="G134" s="1"/>
      <c r="H134" s="744"/>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row>
    <row r="135" spans="1:34" ht="15" customHeight="1" x14ac:dyDescent="0.3">
      <c r="A135" s="1"/>
      <c r="B135" s="1"/>
      <c r="C135" s="1"/>
      <c r="D135" s="1"/>
      <c r="E135" s="1"/>
      <c r="F135" s="744"/>
      <c r="G135" s="1"/>
      <c r="H135" s="744"/>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row>
    <row r="136" spans="1:34" ht="15" customHeight="1" x14ac:dyDescent="0.3">
      <c r="A136" s="1"/>
      <c r="B136" s="1"/>
      <c r="C136" s="1"/>
      <c r="D136" s="1"/>
      <c r="E136" s="1"/>
      <c r="F136" s="744"/>
      <c r="G136" s="1"/>
      <c r="H136" s="744"/>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row>
    <row r="137" spans="1:34" ht="15" customHeight="1" x14ac:dyDescent="0.3">
      <c r="A137" s="1"/>
      <c r="B137" s="1"/>
      <c r="C137" s="1"/>
      <c r="D137" s="1"/>
      <c r="E137" s="1"/>
      <c r="F137" s="744"/>
      <c r="G137" s="1"/>
      <c r="H137" s="744"/>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row>
    <row r="138" spans="1:34" ht="15" customHeight="1" x14ac:dyDescent="0.3">
      <c r="A138" s="1"/>
      <c r="B138" s="1"/>
      <c r="C138" s="1"/>
      <c r="D138" s="1"/>
      <c r="E138" s="1"/>
      <c r="F138" s="744"/>
      <c r="G138" s="1"/>
      <c r="H138" s="744"/>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row>
    <row r="139" spans="1:34" ht="15" customHeight="1" x14ac:dyDescent="0.3">
      <c r="A139" s="1"/>
      <c r="B139" s="1"/>
      <c r="C139" s="1"/>
      <c r="D139" s="1"/>
      <c r="E139" s="1"/>
      <c r="F139" s="744"/>
      <c r="G139" s="1"/>
      <c r="H139" s="744"/>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row>
    <row r="140" spans="1:34" ht="15" customHeight="1" x14ac:dyDescent="0.3">
      <c r="A140" s="1"/>
      <c r="B140" s="1"/>
      <c r="C140" s="1"/>
      <c r="D140" s="1"/>
      <c r="E140" s="1"/>
      <c r="F140" s="744"/>
      <c r="G140" s="1"/>
      <c r="H140" s="744"/>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row>
    <row r="141" spans="1:34" ht="15" customHeight="1" x14ac:dyDescent="0.3">
      <c r="A141" s="1"/>
      <c r="B141" s="1"/>
      <c r="C141" s="1"/>
      <c r="D141" s="1"/>
      <c r="E141" s="1"/>
      <c r="F141" s="744"/>
      <c r="G141" s="1"/>
      <c r="H141" s="744"/>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row>
    <row r="142" spans="1:34" ht="15" customHeight="1" x14ac:dyDescent="0.3">
      <c r="A142" s="1"/>
      <c r="B142" s="1"/>
      <c r="C142" s="1"/>
      <c r="D142" s="1"/>
      <c r="E142" s="1"/>
      <c r="F142" s="744"/>
      <c r="G142" s="1"/>
      <c r="H142" s="744"/>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row>
    <row r="143" spans="1:34" ht="15" customHeight="1" x14ac:dyDescent="0.3">
      <c r="A143" s="1"/>
      <c r="B143" s="1"/>
      <c r="C143" s="1"/>
      <c r="D143" s="1"/>
      <c r="E143" s="1"/>
      <c r="F143" s="744"/>
      <c r="G143" s="1"/>
      <c r="H143" s="744"/>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row>
    <row r="144" spans="1:34" ht="15" customHeight="1" x14ac:dyDescent="0.3">
      <c r="A144" s="1"/>
      <c r="B144" s="1"/>
      <c r="C144" s="1"/>
      <c r="D144" s="1"/>
      <c r="E144" s="1"/>
      <c r="F144" s="744"/>
      <c r="G144" s="1"/>
      <c r="H144" s="744"/>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row>
    <row r="145" spans="1:34" ht="15" customHeight="1" x14ac:dyDescent="0.3">
      <c r="A145" s="1"/>
      <c r="B145" s="1"/>
      <c r="C145" s="1"/>
      <c r="D145" s="1"/>
      <c r="E145" s="1"/>
      <c r="F145" s="744"/>
      <c r="G145" s="1"/>
      <c r="H145" s="744"/>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row>
    <row r="146" spans="1:34" ht="15" customHeight="1" x14ac:dyDescent="0.3">
      <c r="A146" s="1"/>
      <c r="B146" s="1"/>
      <c r="C146" s="1"/>
      <c r="D146" s="1"/>
      <c r="E146" s="1"/>
      <c r="F146" s="744"/>
      <c r="G146" s="1"/>
      <c r="H146" s="744"/>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row>
    <row r="147" spans="1:34" ht="15" customHeight="1" x14ac:dyDescent="0.3">
      <c r="A147" s="1"/>
      <c r="B147" s="1"/>
      <c r="C147" s="1"/>
      <c r="D147" s="1"/>
      <c r="E147" s="1"/>
      <c r="F147" s="744"/>
      <c r="G147" s="1"/>
      <c r="H147" s="744"/>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row>
    <row r="148" spans="1:34" ht="15" customHeight="1" x14ac:dyDescent="0.3">
      <c r="A148" s="1"/>
      <c r="B148" s="1"/>
      <c r="C148" s="1"/>
      <c r="D148" s="1"/>
      <c r="E148" s="1"/>
      <c r="F148" s="744"/>
      <c r="G148" s="1"/>
      <c r="H148" s="744"/>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row>
    <row r="149" spans="1:34" ht="15" customHeight="1" x14ac:dyDescent="0.3">
      <c r="A149" s="1"/>
      <c r="B149" s="1"/>
      <c r="C149" s="1"/>
      <c r="D149" s="1"/>
      <c r="E149" s="1"/>
      <c r="F149" s="744"/>
      <c r="G149" s="1"/>
      <c r="H149" s="744"/>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row>
    <row r="150" spans="1:34" ht="15" customHeight="1" x14ac:dyDescent="0.3">
      <c r="A150" s="1"/>
      <c r="B150" s="1"/>
      <c r="C150" s="1"/>
      <c r="D150" s="1"/>
      <c r="E150" s="1"/>
      <c r="F150" s="744"/>
      <c r="G150" s="1"/>
      <c r="H150" s="744"/>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row>
    <row r="151" spans="1:34" ht="15" customHeight="1" x14ac:dyDescent="0.3">
      <c r="A151" s="1"/>
      <c r="B151" s="1"/>
      <c r="C151" s="1"/>
      <c r="D151" s="1"/>
      <c r="E151" s="1"/>
      <c r="F151" s="744"/>
      <c r="G151" s="1"/>
      <c r="H151" s="744"/>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row>
    <row r="152" spans="1:34" ht="15" customHeight="1" x14ac:dyDescent="0.3">
      <c r="A152" s="1"/>
      <c r="B152" s="1"/>
      <c r="C152" s="1"/>
      <c r="D152" s="1"/>
      <c r="E152" s="1"/>
      <c r="F152" s="744"/>
      <c r="G152" s="1"/>
      <c r="H152" s="744"/>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row>
    <row r="153" spans="1:34" ht="15" customHeight="1" x14ac:dyDescent="0.3">
      <c r="A153" s="1"/>
      <c r="B153" s="1"/>
      <c r="C153" s="1"/>
      <c r="D153" s="1"/>
      <c r="E153" s="1"/>
      <c r="F153" s="744"/>
      <c r="G153" s="1"/>
      <c r="H153" s="744"/>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row>
    <row r="154" spans="1:34" ht="15" customHeight="1" x14ac:dyDescent="0.3">
      <c r="A154" s="1"/>
      <c r="B154" s="1"/>
      <c r="C154" s="1"/>
      <c r="D154" s="1"/>
      <c r="E154" s="1"/>
      <c r="F154" s="744"/>
      <c r="G154" s="1"/>
      <c r="H154" s="744"/>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row>
    <row r="155" spans="1:34" ht="15" customHeight="1" x14ac:dyDescent="0.3">
      <c r="A155" s="1"/>
      <c r="B155" s="1"/>
      <c r="C155" s="1"/>
      <c r="D155" s="1"/>
      <c r="E155" s="1"/>
      <c r="F155" s="744"/>
      <c r="G155" s="1"/>
      <c r="H155" s="744"/>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row>
    <row r="156" spans="1:34" ht="15" customHeight="1" x14ac:dyDescent="0.3">
      <c r="A156" s="1"/>
      <c r="B156" s="1"/>
      <c r="C156" s="1"/>
      <c r="D156" s="1"/>
      <c r="E156" s="1"/>
      <c r="F156" s="744"/>
      <c r="G156" s="1"/>
      <c r="H156" s="744"/>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row>
    <row r="157" spans="1:34" ht="15" customHeight="1" x14ac:dyDescent="0.3">
      <c r="A157" s="1"/>
      <c r="B157" s="1"/>
      <c r="C157" s="1"/>
      <c r="D157" s="1"/>
      <c r="E157" s="1"/>
      <c r="F157" s="744"/>
      <c r="G157" s="1"/>
      <c r="H157" s="744"/>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row>
    <row r="158" spans="1:34" ht="15" customHeight="1" x14ac:dyDescent="0.3">
      <c r="A158" s="1"/>
      <c r="B158" s="1"/>
      <c r="C158" s="1"/>
      <c r="D158" s="1"/>
      <c r="E158" s="1"/>
      <c r="F158" s="744"/>
      <c r="G158" s="1"/>
      <c r="H158" s="744"/>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row>
    <row r="159" spans="1:34" ht="15" customHeight="1" x14ac:dyDescent="0.3">
      <c r="A159" s="1"/>
      <c r="B159" s="1"/>
      <c r="C159" s="1"/>
      <c r="D159" s="1"/>
      <c r="E159" s="1"/>
      <c r="F159" s="744"/>
      <c r="G159" s="1"/>
      <c r="H159" s="744"/>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row>
    <row r="160" spans="1:34" ht="15" customHeight="1" x14ac:dyDescent="0.3">
      <c r="A160" s="1"/>
      <c r="B160" s="1"/>
      <c r="C160" s="1"/>
      <c r="D160" s="1"/>
      <c r="E160" s="1"/>
      <c r="F160" s="744"/>
      <c r="G160" s="1"/>
      <c r="H160" s="744"/>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row>
    <row r="161" spans="1:34" ht="15" customHeight="1" x14ac:dyDescent="0.3">
      <c r="A161" s="1"/>
      <c r="B161" s="1"/>
      <c r="C161" s="1"/>
      <c r="D161" s="1"/>
      <c r="E161" s="1"/>
      <c r="F161" s="744"/>
      <c r="G161" s="1"/>
      <c r="H161" s="744"/>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row>
    <row r="162" spans="1:34" ht="15" customHeight="1" x14ac:dyDescent="0.3">
      <c r="A162" s="1"/>
      <c r="B162" s="1"/>
      <c r="C162" s="1"/>
      <c r="D162" s="1"/>
      <c r="E162" s="1"/>
      <c r="F162" s="744"/>
      <c r="G162" s="1"/>
      <c r="H162" s="744"/>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row>
    <row r="163" spans="1:34" ht="15" customHeight="1" x14ac:dyDescent="0.3">
      <c r="A163" s="1"/>
      <c r="B163" s="1"/>
      <c r="C163" s="1"/>
      <c r="D163" s="1"/>
      <c r="E163" s="1"/>
      <c r="F163" s="744"/>
      <c r="G163" s="1"/>
      <c r="H163" s="744"/>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row>
    <row r="164" spans="1:34" ht="15" customHeight="1" x14ac:dyDescent="0.3">
      <c r="A164" s="1"/>
      <c r="B164" s="1"/>
      <c r="C164" s="1"/>
      <c r="D164" s="1"/>
      <c r="E164" s="1"/>
      <c r="F164" s="744"/>
      <c r="G164" s="1"/>
      <c r="H164" s="744"/>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row>
    <row r="165" spans="1:34" ht="15" customHeight="1" x14ac:dyDescent="0.3">
      <c r="A165" s="1"/>
      <c r="B165" s="1"/>
      <c r="C165" s="1"/>
      <c r="D165" s="1"/>
      <c r="E165" s="1"/>
      <c r="F165" s="744"/>
      <c r="G165" s="1"/>
      <c r="H165" s="744"/>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row>
    <row r="166" spans="1:34" ht="15" customHeight="1" x14ac:dyDescent="0.3">
      <c r="A166" s="1"/>
      <c r="B166" s="1"/>
      <c r="C166" s="1"/>
      <c r="D166" s="1"/>
      <c r="E166" s="1"/>
      <c r="F166" s="744"/>
      <c r="G166" s="1"/>
      <c r="H166" s="744"/>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row>
    <row r="167" spans="1:34" ht="15" customHeight="1" x14ac:dyDescent="0.3">
      <c r="A167" s="1"/>
      <c r="B167" s="1"/>
      <c r="C167" s="1"/>
      <c r="D167" s="1"/>
      <c r="E167" s="1"/>
      <c r="F167" s="744"/>
      <c r="G167" s="1"/>
      <c r="H167" s="744"/>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row>
    <row r="168" spans="1:34" ht="15" customHeight="1" x14ac:dyDescent="0.3">
      <c r="A168" s="1"/>
      <c r="B168" s="1"/>
      <c r="C168" s="1"/>
      <c r="D168" s="1"/>
      <c r="E168" s="1"/>
      <c r="F168" s="744"/>
      <c r="G168" s="1"/>
      <c r="H168" s="744"/>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row>
    <row r="169" spans="1:34" ht="15" customHeight="1" x14ac:dyDescent="0.3">
      <c r="A169" s="1"/>
      <c r="B169" s="1"/>
      <c r="C169" s="1"/>
      <c r="D169" s="1"/>
      <c r="E169" s="1"/>
      <c r="F169" s="744"/>
      <c r="G169" s="1"/>
      <c r="H169" s="744"/>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row>
    <row r="170" spans="1:34" ht="15" customHeight="1" x14ac:dyDescent="0.3">
      <c r="A170" s="1"/>
      <c r="B170" s="1"/>
      <c r="C170" s="1"/>
      <c r="D170" s="1"/>
      <c r="E170" s="1"/>
      <c r="F170" s="744"/>
      <c r="G170" s="1"/>
      <c r="H170" s="744"/>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row>
    <row r="171" spans="1:34" ht="15" customHeight="1" x14ac:dyDescent="0.3">
      <c r="A171" s="1"/>
      <c r="B171" s="1"/>
      <c r="C171" s="1"/>
      <c r="D171" s="1"/>
      <c r="E171" s="1"/>
      <c r="F171" s="744"/>
      <c r="G171" s="1"/>
      <c r="H171" s="744"/>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row>
    <row r="172" spans="1:34" ht="15" customHeight="1" x14ac:dyDescent="0.3">
      <c r="A172" s="1"/>
      <c r="B172" s="1"/>
      <c r="C172" s="1"/>
      <c r="D172" s="1"/>
      <c r="E172" s="1"/>
      <c r="F172" s="744"/>
      <c r="G172" s="1"/>
      <c r="H172" s="744"/>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row>
    <row r="173" spans="1:34" ht="15" customHeight="1" x14ac:dyDescent="0.3">
      <c r="A173" s="1"/>
      <c r="B173" s="1"/>
      <c r="C173" s="1"/>
      <c r="D173" s="1"/>
      <c r="E173" s="1"/>
      <c r="F173" s="744"/>
      <c r="G173" s="1"/>
      <c r="H173" s="744"/>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row>
    <row r="174" spans="1:34" ht="15" customHeight="1" x14ac:dyDescent="0.3">
      <c r="A174" s="1"/>
      <c r="B174" s="1"/>
      <c r="C174" s="1"/>
      <c r="D174" s="1"/>
      <c r="E174" s="1"/>
      <c r="F174" s="744"/>
      <c r="G174" s="1"/>
      <c r="H174" s="744"/>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row>
    <row r="175" spans="1:34" ht="15" customHeight="1" x14ac:dyDescent="0.3">
      <c r="A175" s="1"/>
      <c r="B175" s="1"/>
      <c r="C175" s="1"/>
      <c r="D175" s="1"/>
      <c r="E175" s="1"/>
      <c r="F175" s="744"/>
      <c r="G175" s="1"/>
      <c r="H175" s="744"/>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row>
    <row r="176" spans="1:34" ht="15" customHeight="1" x14ac:dyDescent="0.3">
      <c r="A176" s="1"/>
      <c r="B176" s="1"/>
      <c r="C176" s="1"/>
      <c r="D176" s="1"/>
      <c r="E176" s="1"/>
      <c r="F176" s="744"/>
      <c r="G176" s="1"/>
      <c r="H176" s="744"/>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row>
    <row r="177" spans="1:34" ht="15" customHeight="1" x14ac:dyDescent="0.3">
      <c r="A177" s="1"/>
      <c r="B177" s="1"/>
      <c r="C177" s="1"/>
      <c r="D177" s="1"/>
      <c r="E177" s="1"/>
      <c r="F177" s="744"/>
      <c r="G177" s="1"/>
      <c r="H177" s="744"/>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row>
    <row r="178" spans="1:34" ht="15" customHeight="1" x14ac:dyDescent="0.3">
      <c r="A178" s="1"/>
      <c r="B178" s="1"/>
      <c r="C178" s="1"/>
      <c r="D178" s="1"/>
      <c r="E178" s="1"/>
      <c r="F178" s="744"/>
      <c r="G178" s="1"/>
      <c r="H178" s="744"/>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row>
    <row r="179" spans="1:34" ht="15" customHeight="1" x14ac:dyDescent="0.3">
      <c r="A179" s="1"/>
      <c r="B179" s="1"/>
      <c r="C179" s="1"/>
      <c r="D179" s="1"/>
      <c r="E179" s="1"/>
      <c r="F179" s="744"/>
      <c r="G179" s="1"/>
      <c r="H179" s="744"/>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row>
    <row r="180" spans="1:34" ht="15" customHeight="1" x14ac:dyDescent="0.3">
      <c r="A180" s="1"/>
      <c r="B180" s="1"/>
      <c r="C180" s="1"/>
      <c r="D180" s="1"/>
      <c r="E180" s="1"/>
      <c r="F180" s="744"/>
      <c r="G180" s="1"/>
      <c r="H180" s="744"/>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row>
    <row r="181" spans="1:34" ht="15" customHeight="1" x14ac:dyDescent="0.3">
      <c r="A181" s="1"/>
      <c r="B181" s="1"/>
      <c r="C181" s="1"/>
      <c r="D181" s="1"/>
      <c r="E181" s="1"/>
      <c r="F181" s="744"/>
      <c r="G181" s="1"/>
      <c r="H181" s="744"/>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row>
    <row r="182" spans="1:34" ht="15" customHeight="1" x14ac:dyDescent="0.3">
      <c r="A182" s="1"/>
      <c r="B182" s="1"/>
      <c r="C182" s="1"/>
      <c r="D182" s="1"/>
      <c r="E182" s="1"/>
      <c r="F182" s="744"/>
      <c r="G182" s="1"/>
      <c r="H182" s="744"/>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row>
    <row r="183" spans="1:34" ht="15" customHeight="1" x14ac:dyDescent="0.3">
      <c r="A183" s="1"/>
      <c r="B183" s="1"/>
      <c r="C183" s="1"/>
      <c r="D183" s="1"/>
      <c r="E183" s="1"/>
      <c r="F183" s="744"/>
      <c r="G183" s="1"/>
      <c r="H183" s="744"/>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row>
    <row r="184" spans="1:34" ht="15" customHeight="1" x14ac:dyDescent="0.3">
      <c r="A184" s="1"/>
      <c r="B184" s="1"/>
      <c r="C184" s="1"/>
      <c r="D184" s="1"/>
      <c r="E184" s="1"/>
      <c r="F184" s="744"/>
      <c r="G184" s="1"/>
      <c r="H184" s="744"/>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row>
    <row r="185" spans="1:34" ht="15" customHeight="1" x14ac:dyDescent="0.3">
      <c r="A185" s="1"/>
      <c r="B185" s="1"/>
      <c r="C185" s="1"/>
      <c r="D185" s="1"/>
      <c r="E185" s="1"/>
      <c r="F185" s="744"/>
      <c r="G185" s="1"/>
      <c r="H185" s="744"/>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row>
    <row r="186" spans="1:34" ht="15" customHeight="1" x14ac:dyDescent="0.3">
      <c r="A186" s="1"/>
      <c r="B186" s="1"/>
      <c r="C186" s="1"/>
      <c r="D186" s="1"/>
      <c r="E186" s="1"/>
      <c r="F186" s="744"/>
      <c r="G186" s="1"/>
      <c r="H186" s="744"/>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row>
    <row r="187" spans="1:34" ht="15" customHeight="1" x14ac:dyDescent="0.3">
      <c r="A187" s="1"/>
      <c r="B187" s="1"/>
      <c r="C187" s="1"/>
      <c r="D187" s="1"/>
      <c r="E187" s="1"/>
      <c r="F187" s="744"/>
      <c r="G187" s="1"/>
      <c r="H187" s="744"/>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row>
    <row r="188" spans="1:34" ht="15" customHeight="1" x14ac:dyDescent="0.3">
      <c r="A188" s="1"/>
      <c r="B188" s="1"/>
      <c r="C188" s="1"/>
      <c r="D188" s="1"/>
      <c r="E188" s="1"/>
      <c r="F188" s="744"/>
      <c r="G188" s="1"/>
      <c r="H188" s="744"/>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row>
    <row r="189" spans="1:34" ht="15" customHeight="1" x14ac:dyDescent="0.3">
      <c r="A189" s="1"/>
      <c r="B189" s="1"/>
      <c r="C189" s="1"/>
      <c r="D189" s="1"/>
      <c r="E189" s="1"/>
      <c r="F189" s="744"/>
      <c r="G189" s="1"/>
      <c r="H189" s="744"/>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row>
    <row r="190" spans="1:34" ht="15" customHeight="1" x14ac:dyDescent="0.3">
      <c r="A190" s="1"/>
      <c r="B190" s="1"/>
      <c r="C190" s="1"/>
      <c r="D190" s="1"/>
      <c r="E190" s="1"/>
      <c r="F190" s="744"/>
      <c r="G190" s="1"/>
      <c r="H190" s="744"/>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row>
    <row r="191" spans="1:34" ht="15" customHeight="1" x14ac:dyDescent="0.3">
      <c r="A191" s="1"/>
      <c r="B191" s="1"/>
      <c r="C191" s="1"/>
      <c r="D191" s="1"/>
      <c r="E191" s="1"/>
      <c r="F191" s="744"/>
      <c r="G191" s="1"/>
      <c r="H191" s="744"/>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row>
    <row r="192" spans="1:34" ht="15" customHeight="1" x14ac:dyDescent="0.3">
      <c r="A192" s="1"/>
      <c r="B192" s="1"/>
      <c r="C192" s="1"/>
      <c r="D192" s="1"/>
      <c r="E192" s="1"/>
      <c r="F192" s="744"/>
      <c r="G192" s="1"/>
      <c r="H192" s="744"/>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row>
    <row r="193" spans="1:34" ht="15" customHeight="1" x14ac:dyDescent="0.3">
      <c r="A193" s="1"/>
      <c r="B193" s="1"/>
      <c r="C193" s="1"/>
      <c r="D193" s="1"/>
      <c r="E193" s="1"/>
      <c r="F193" s="744"/>
      <c r="G193" s="1"/>
      <c r="H193" s="744"/>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row>
    <row r="194" spans="1:34" ht="15" customHeight="1" x14ac:dyDescent="0.3">
      <c r="A194" s="1"/>
      <c r="B194" s="1"/>
      <c r="C194" s="1"/>
      <c r="D194" s="1"/>
      <c r="E194" s="1"/>
      <c r="F194" s="744"/>
      <c r="G194" s="1"/>
      <c r="H194" s="744"/>
      <c r="I194" s="1"/>
      <c r="J194" s="1"/>
      <c r="K194" s="1"/>
      <c r="L194" s="1"/>
      <c r="M194" s="1"/>
      <c r="N194" s="1"/>
      <c r="O194" s="1"/>
      <c r="P194" s="1"/>
      <c r="Q194" s="1"/>
      <c r="R194" s="1"/>
      <c r="S194" s="1"/>
      <c r="T194" s="1"/>
    </row>
    <row r="195" spans="1:34" ht="15" customHeight="1" x14ac:dyDescent="0.3">
      <c r="A195" s="1"/>
      <c r="B195" s="1"/>
      <c r="C195" s="1"/>
      <c r="D195" s="1"/>
      <c r="E195" s="1"/>
      <c r="F195" s="744"/>
      <c r="G195" s="1"/>
      <c r="H195" s="744"/>
      <c r="I195" s="1"/>
      <c r="J195" s="1"/>
      <c r="K195" s="1"/>
      <c r="L195" s="1"/>
      <c r="M195" s="1"/>
      <c r="N195" s="1"/>
      <c r="O195" s="1"/>
      <c r="P195" s="1"/>
      <c r="Q195" s="1"/>
      <c r="R195" s="1"/>
      <c r="S195" s="1"/>
      <c r="T195" s="1"/>
    </row>
    <row r="196" spans="1:34" ht="15" customHeight="1" x14ac:dyDescent="0.3">
      <c r="A196" s="1"/>
      <c r="B196" s="1"/>
      <c r="C196" s="1"/>
      <c r="D196" s="1"/>
      <c r="E196" s="1"/>
      <c r="F196" s="744"/>
      <c r="G196" s="1"/>
      <c r="H196" s="744"/>
      <c r="I196" s="1"/>
      <c r="J196" s="1"/>
      <c r="K196" s="1"/>
      <c r="L196" s="1"/>
      <c r="M196" s="1"/>
      <c r="N196" s="1"/>
      <c r="O196" s="1"/>
      <c r="P196" s="1"/>
      <c r="Q196" s="1"/>
      <c r="R196" s="1"/>
      <c r="S196" s="1"/>
      <c r="T196" s="1"/>
    </row>
    <row r="197" spans="1:34" ht="15" customHeight="1" x14ac:dyDescent="0.3">
      <c r="A197" s="1"/>
      <c r="B197" s="1"/>
      <c r="C197" s="1"/>
      <c r="D197" s="1"/>
      <c r="E197" s="1"/>
      <c r="F197" s="744"/>
      <c r="G197" s="1"/>
      <c r="H197" s="744"/>
      <c r="I197" s="1"/>
      <c r="J197" s="1"/>
      <c r="K197" s="1"/>
      <c r="L197" s="1"/>
      <c r="M197" s="1"/>
      <c r="N197" s="1"/>
      <c r="O197" s="1"/>
      <c r="P197" s="1"/>
      <c r="Q197" s="1"/>
      <c r="R197" s="1"/>
      <c r="S197" s="1"/>
      <c r="T197" s="1"/>
    </row>
    <row r="198" spans="1:34" ht="15" customHeight="1" x14ac:dyDescent="0.3">
      <c r="A198" s="1"/>
      <c r="B198" s="1"/>
      <c r="C198" s="1"/>
      <c r="D198" s="1"/>
      <c r="E198" s="1"/>
      <c r="F198" s="744"/>
      <c r="G198" s="1"/>
      <c r="H198" s="744"/>
      <c r="I198" s="1"/>
      <c r="J198" s="1"/>
      <c r="K198" s="1"/>
      <c r="L198" s="1"/>
      <c r="M198" s="1"/>
      <c r="N198" s="1"/>
      <c r="O198" s="1"/>
      <c r="P198" s="1"/>
      <c r="Q198" s="1"/>
      <c r="R198" s="1"/>
      <c r="S198" s="1"/>
      <c r="T198" s="1"/>
    </row>
    <row r="199" spans="1:34" ht="15" customHeight="1" x14ac:dyDescent="0.3">
      <c r="A199" s="1"/>
      <c r="B199" s="1"/>
      <c r="C199" s="1"/>
      <c r="D199" s="1"/>
      <c r="E199" s="1"/>
      <c r="F199" s="744"/>
      <c r="G199" s="1"/>
      <c r="H199" s="744"/>
      <c r="I199" s="1"/>
      <c r="J199" s="1"/>
      <c r="K199" s="1"/>
      <c r="L199" s="1"/>
      <c r="M199" s="1"/>
      <c r="N199" s="1"/>
      <c r="O199" s="1"/>
      <c r="P199" s="1"/>
      <c r="Q199" s="1"/>
      <c r="R199" s="1"/>
      <c r="S199" s="1"/>
      <c r="T199" s="1"/>
    </row>
    <row r="200" spans="1:34" ht="15" customHeight="1" x14ac:dyDescent="0.3">
      <c r="A200" s="1"/>
      <c r="B200" s="1"/>
      <c r="C200" s="1"/>
      <c r="D200" s="1"/>
      <c r="E200" s="1"/>
      <c r="F200" s="744"/>
      <c r="G200" s="1"/>
      <c r="H200" s="744"/>
      <c r="I200" s="1"/>
      <c r="J200" s="1"/>
      <c r="K200" s="1"/>
      <c r="L200" s="1"/>
      <c r="M200" s="1"/>
      <c r="N200" s="1"/>
      <c r="O200" s="1"/>
      <c r="P200" s="1"/>
      <c r="Q200" s="1"/>
      <c r="R200" s="1"/>
      <c r="S200" s="1"/>
      <c r="T200" s="1"/>
    </row>
    <row r="201" spans="1:34" ht="15" customHeight="1" x14ac:dyDescent="0.3">
      <c r="A201" s="1"/>
      <c r="B201" s="1"/>
      <c r="C201" s="1"/>
      <c r="D201" s="1"/>
      <c r="E201" s="1"/>
      <c r="F201" s="744"/>
      <c r="G201" s="1"/>
      <c r="H201" s="744"/>
      <c r="I201" s="1"/>
      <c r="J201" s="1"/>
      <c r="K201" s="1"/>
      <c r="L201" s="1"/>
      <c r="M201" s="1"/>
      <c r="N201" s="1"/>
      <c r="O201" s="1"/>
      <c r="P201" s="1"/>
      <c r="Q201" s="1"/>
      <c r="R201" s="1"/>
      <c r="S201" s="1"/>
      <c r="T201" s="1"/>
    </row>
    <row r="202" spans="1:34" ht="15" customHeight="1" x14ac:dyDescent="0.3">
      <c r="A202" s="1"/>
      <c r="B202" s="1"/>
      <c r="C202" s="1"/>
      <c r="D202" s="1"/>
      <c r="E202" s="1"/>
      <c r="F202" s="744"/>
      <c r="G202" s="1"/>
      <c r="H202" s="744"/>
      <c r="I202" s="1"/>
      <c r="J202" s="1"/>
      <c r="K202" s="1"/>
      <c r="L202" s="1"/>
      <c r="M202" s="1"/>
      <c r="N202" s="1"/>
      <c r="O202" s="1"/>
      <c r="P202" s="1"/>
      <c r="Q202" s="1"/>
      <c r="R202" s="1"/>
      <c r="S202" s="1"/>
      <c r="T202" s="1"/>
    </row>
    <row r="203" spans="1:34" ht="15" customHeight="1" x14ac:dyDescent="0.3">
      <c r="A203" s="1"/>
      <c r="B203" s="1"/>
      <c r="C203" s="1"/>
      <c r="D203" s="1"/>
      <c r="E203" s="1"/>
      <c r="F203" s="744"/>
      <c r="G203" s="1"/>
      <c r="H203" s="744"/>
      <c r="I203" s="1"/>
      <c r="J203" s="1"/>
      <c r="K203" s="1"/>
      <c r="L203" s="1"/>
      <c r="M203" s="1"/>
      <c r="N203" s="1"/>
      <c r="O203" s="1"/>
      <c r="P203" s="1"/>
      <c r="Q203" s="1"/>
      <c r="R203" s="1"/>
      <c r="S203" s="1"/>
      <c r="T203" s="1"/>
    </row>
    <row r="204" spans="1:34" ht="15" customHeight="1" x14ac:dyDescent="0.3">
      <c r="A204" s="1"/>
      <c r="B204" s="1"/>
      <c r="C204" s="1"/>
      <c r="D204" s="1"/>
      <c r="E204" s="1"/>
      <c r="F204" s="744"/>
      <c r="G204" s="1"/>
      <c r="H204" s="744"/>
      <c r="I204" s="1"/>
      <c r="J204" s="1"/>
      <c r="K204" s="1"/>
      <c r="L204" s="1"/>
      <c r="M204" s="1"/>
      <c r="N204" s="1"/>
      <c r="O204" s="1"/>
      <c r="P204" s="1"/>
      <c r="Q204" s="1"/>
      <c r="R204" s="1"/>
      <c r="S204" s="1"/>
      <c r="T204" s="1"/>
    </row>
    <row r="205" spans="1:34" ht="15" customHeight="1" x14ac:dyDescent="0.3">
      <c r="A205" s="1"/>
      <c r="B205" s="1"/>
      <c r="C205" s="1"/>
      <c r="D205" s="1"/>
      <c r="E205" s="1"/>
      <c r="F205" s="744"/>
      <c r="G205" s="1"/>
      <c r="H205" s="744"/>
      <c r="I205" s="1"/>
      <c r="J205" s="1"/>
      <c r="K205" s="1"/>
      <c r="L205" s="1"/>
      <c r="M205" s="1"/>
      <c r="N205" s="1"/>
      <c r="O205" s="1"/>
      <c r="P205" s="1"/>
      <c r="Q205" s="1"/>
      <c r="R205" s="1"/>
      <c r="S205" s="1"/>
      <c r="T205" s="1"/>
    </row>
    <row r="206" spans="1:34" ht="15" customHeight="1" x14ac:dyDescent="0.3">
      <c r="A206" s="1"/>
      <c r="B206" s="1"/>
      <c r="C206" s="1"/>
      <c r="D206" s="1"/>
      <c r="E206" s="1"/>
      <c r="F206" s="744"/>
      <c r="G206" s="1"/>
      <c r="H206" s="744"/>
      <c r="I206" s="1"/>
      <c r="J206" s="1"/>
      <c r="K206" s="1"/>
      <c r="L206" s="1"/>
      <c r="M206" s="1"/>
      <c r="N206" s="1"/>
      <c r="O206" s="1"/>
      <c r="P206" s="1"/>
      <c r="Q206" s="1"/>
      <c r="R206" s="1"/>
      <c r="S206" s="1"/>
      <c r="T206" s="1"/>
    </row>
    <row r="207" spans="1:34" ht="15" customHeight="1" x14ac:dyDescent="0.3">
      <c r="A207" s="1"/>
      <c r="B207" s="1"/>
      <c r="C207" s="1"/>
      <c r="D207" s="1"/>
      <c r="E207" s="1"/>
      <c r="F207" s="744"/>
      <c r="G207" s="1"/>
      <c r="H207" s="744"/>
      <c r="I207" s="1"/>
      <c r="J207" s="1"/>
      <c r="K207" s="1"/>
      <c r="L207" s="1"/>
      <c r="M207" s="1"/>
      <c r="N207" s="1"/>
      <c r="O207" s="1"/>
      <c r="P207" s="1"/>
      <c r="Q207" s="1"/>
      <c r="R207" s="1"/>
      <c r="S207" s="1"/>
      <c r="T207" s="1"/>
    </row>
    <row r="208" spans="1:34" ht="15" customHeight="1" x14ac:dyDescent="0.3">
      <c r="A208" s="1"/>
      <c r="B208" s="1"/>
      <c r="C208" s="1"/>
      <c r="D208" s="1"/>
      <c r="E208" s="1"/>
      <c r="F208" s="744"/>
      <c r="G208" s="1"/>
      <c r="H208" s="744"/>
      <c r="I208" s="1"/>
      <c r="J208" s="1"/>
      <c r="K208" s="1"/>
      <c r="L208" s="1"/>
      <c r="M208" s="1"/>
      <c r="N208" s="1"/>
      <c r="O208" s="1"/>
      <c r="P208" s="1"/>
      <c r="Q208" s="1"/>
      <c r="R208" s="1"/>
      <c r="S208" s="1"/>
      <c r="T208" s="1"/>
    </row>
    <row r="209" spans="1:20" ht="15" customHeight="1" x14ac:dyDescent="0.3">
      <c r="A209" s="1"/>
      <c r="B209" s="1"/>
      <c r="C209" s="1"/>
      <c r="D209" s="1"/>
      <c r="E209" s="1"/>
      <c r="F209" s="744"/>
      <c r="G209" s="1"/>
      <c r="H209" s="744"/>
      <c r="I209" s="1"/>
      <c r="J209" s="1"/>
      <c r="K209" s="1"/>
      <c r="L209" s="1"/>
      <c r="M209" s="1"/>
      <c r="N209" s="1"/>
      <c r="O209" s="1"/>
      <c r="P209" s="1"/>
      <c r="Q209" s="1"/>
      <c r="R209" s="1"/>
      <c r="S209" s="1"/>
      <c r="T209" s="1"/>
    </row>
    <row r="210" spans="1:20" ht="15" customHeight="1" x14ac:dyDescent="0.3">
      <c r="A210" s="1"/>
      <c r="B210" s="1"/>
      <c r="C210" s="1"/>
      <c r="D210" s="1"/>
      <c r="E210" s="1"/>
      <c r="F210" s="744"/>
      <c r="G210" s="1"/>
      <c r="H210" s="744"/>
      <c r="I210" s="1"/>
      <c r="J210" s="1"/>
      <c r="K210" s="1"/>
      <c r="L210" s="1"/>
      <c r="M210" s="1"/>
      <c r="N210" s="1"/>
      <c r="O210" s="1"/>
      <c r="P210" s="1"/>
      <c r="Q210" s="1"/>
      <c r="R210" s="1"/>
      <c r="S210" s="1"/>
      <c r="T210" s="1"/>
    </row>
    <row r="211" spans="1:20" ht="15" customHeight="1" x14ac:dyDescent="0.3">
      <c r="A211" s="1"/>
      <c r="B211" s="1"/>
      <c r="C211" s="1"/>
      <c r="D211" s="1"/>
      <c r="E211" s="1"/>
      <c r="F211" s="744"/>
      <c r="G211" s="1"/>
      <c r="H211" s="744"/>
      <c r="I211" s="1"/>
      <c r="J211" s="1"/>
      <c r="K211" s="1"/>
      <c r="L211" s="1"/>
      <c r="M211" s="1"/>
      <c r="N211" s="1"/>
      <c r="O211" s="1"/>
      <c r="P211" s="1"/>
      <c r="Q211" s="1"/>
      <c r="R211" s="1"/>
      <c r="S211" s="1"/>
      <c r="T211" s="1"/>
    </row>
    <row r="212" spans="1:20" ht="15" customHeight="1" x14ac:dyDescent="0.3">
      <c r="A212" s="1"/>
      <c r="B212" s="1"/>
      <c r="C212" s="1"/>
      <c r="D212" s="1"/>
      <c r="E212" s="1"/>
      <c r="F212" s="744"/>
      <c r="G212" s="1"/>
      <c r="H212" s="744"/>
      <c r="I212" s="1"/>
      <c r="J212" s="1"/>
      <c r="K212" s="1"/>
      <c r="L212" s="1"/>
      <c r="M212" s="1"/>
      <c r="N212" s="1"/>
      <c r="O212" s="1"/>
      <c r="P212" s="1"/>
      <c r="Q212" s="1"/>
      <c r="R212" s="1"/>
      <c r="S212" s="1"/>
      <c r="T212" s="1"/>
    </row>
    <row r="213" spans="1:20" ht="15" customHeight="1" x14ac:dyDescent="0.3">
      <c r="A213" s="1"/>
      <c r="B213" s="1"/>
      <c r="C213" s="1"/>
      <c r="D213" s="1"/>
      <c r="E213" s="1"/>
      <c r="F213" s="744"/>
      <c r="G213" s="1"/>
      <c r="H213" s="744"/>
      <c r="I213" s="1"/>
      <c r="J213" s="1"/>
      <c r="K213" s="1"/>
      <c r="L213" s="1"/>
      <c r="M213" s="1"/>
      <c r="N213" s="1"/>
      <c r="O213" s="1"/>
      <c r="P213" s="1"/>
      <c r="Q213" s="1"/>
      <c r="R213" s="1"/>
      <c r="S213" s="1"/>
      <c r="T213" s="1"/>
    </row>
    <row r="214" spans="1:20" ht="15" customHeight="1" x14ac:dyDescent="0.3">
      <c r="A214" s="1"/>
      <c r="B214" s="1"/>
      <c r="C214" s="1"/>
      <c r="D214" s="1"/>
      <c r="E214" s="1"/>
      <c r="F214" s="744"/>
      <c r="G214" s="1"/>
      <c r="H214" s="744"/>
      <c r="I214" s="1"/>
      <c r="J214" s="1"/>
      <c r="K214" s="1"/>
      <c r="L214" s="1"/>
      <c r="M214" s="1"/>
      <c r="N214" s="1"/>
      <c r="O214" s="1"/>
      <c r="P214" s="1"/>
      <c r="Q214" s="1"/>
      <c r="R214" s="1"/>
      <c r="S214" s="1"/>
      <c r="T214" s="1"/>
    </row>
    <row r="215" spans="1:20" ht="15" customHeight="1" x14ac:dyDescent="0.3">
      <c r="A215" s="1"/>
      <c r="B215" s="1"/>
      <c r="C215" s="1"/>
      <c r="D215" s="1"/>
      <c r="E215" s="1"/>
      <c r="F215" s="744"/>
      <c r="G215" s="1"/>
      <c r="H215" s="744"/>
      <c r="I215" s="1"/>
      <c r="J215" s="1"/>
      <c r="K215" s="1"/>
      <c r="L215" s="1"/>
      <c r="M215" s="1"/>
      <c r="N215" s="1"/>
      <c r="O215" s="1"/>
      <c r="P215" s="1"/>
      <c r="Q215" s="1"/>
      <c r="R215" s="1"/>
      <c r="S215" s="1"/>
      <c r="T215" s="1"/>
    </row>
    <row r="216" spans="1:20" ht="15" customHeight="1" x14ac:dyDescent="0.3">
      <c r="A216" s="1"/>
      <c r="B216" s="1"/>
      <c r="C216" s="1"/>
      <c r="D216" s="1"/>
      <c r="E216" s="1"/>
      <c r="F216" s="744"/>
      <c r="G216" s="1"/>
      <c r="H216" s="744"/>
      <c r="I216" s="1"/>
      <c r="J216" s="1"/>
      <c r="K216" s="1"/>
      <c r="L216" s="1"/>
      <c r="M216" s="1"/>
      <c r="N216" s="1"/>
      <c r="O216" s="1"/>
      <c r="P216" s="1"/>
      <c r="Q216" s="1"/>
      <c r="R216" s="1"/>
      <c r="S216" s="1"/>
      <c r="T216" s="1"/>
    </row>
    <row r="217" spans="1:20" ht="15" customHeight="1" x14ac:dyDescent="0.3">
      <c r="A217" s="1"/>
      <c r="B217" s="1"/>
      <c r="C217" s="1"/>
      <c r="D217" s="1"/>
      <c r="E217" s="1"/>
      <c r="F217" s="744"/>
      <c r="G217" s="1"/>
      <c r="H217" s="744"/>
      <c r="I217" s="1"/>
      <c r="J217" s="1"/>
      <c r="K217" s="1"/>
      <c r="L217" s="1"/>
      <c r="M217" s="1"/>
      <c r="N217" s="1"/>
      <c r="O217" s="1"/>
      <c r="P217" s="1"/>
      <c r="Q217" s="1"/>
      <c r="R217" s="1"/>
      <c r="S217" s="1"/>
      <c r="T217" s="1"/>
    </row>
    <row r="218" spans="1:20" ht="15" customHeight="1" x14ac:dyDescent="0.3">
      <c r="A218" s="1"/>
      <c r="B218" s="1"/>
      <c r="C218" s="1"/>
      <c r="D218" s="1"/>
      <c r="E218" s="1"/>
      <c r="F218" s="744"/>
      <c r="G218" s="1"/>
      <c r="H218" s="744"/>
      <c r="I218" s="1"/>
      <c r="J218" s="1"/>
      <c r="K218" s="1"/>
      <c r="L218" s="1"/>
      <c r="M218" s="1"/>
      <c r="N218" s="1"/>
      <c r="O218" s="1"/>
      <c r="P218" s="1"/>
      <c r="Q218" s="1"/>
      <c r="R218" s="1"/>
      <c r="S218" s="1"/>
      <c r="T218" s="1"/>
    </row>
    <row r="219" spans="1:20" ht="15" customHeight="1" x14ac:dyDescent="0.3">
      <c r="A219" s="1"/>
      <c r="B219" s="1"/>
      <c r="C219" s="1"/>
      <c r="D219" s="1"/>
      <c r="E219" s="1"/>
      <c r="F219" s="744"/>
      <c r="G219" s="1"/>
      <c r="H219" s="744"/>
      <c r="I219" s="1"/>
      <c r="J219" s="1"/>
      <c r="K219" s="1"/>
      <c r="L219" s="1"/>
      <c r="M219" s="1"/>
      <c r="N219" s="1"/>
      <c r="O219" s="1"/>
      <c r="P219" s="1"/>
      <c r="Q219" s="1"/>
      <c r="R219" s="1"/>
      <c r="S219" s="1"/>
      <c r="T219" s="1"/>
    </row>
    <row r="220" spans="1:20" ht="15" customHeight="1" x14ac:dyDescent="0.3">
      <c r="A220" s="1"/>
      <c r="B220" s="1"/>
      <c r="C220" s="1"/>
      <c r="D220" s="1"/>
      <c r="E220" s="1"/>
      <c r="F220" s="744"/>
      <c r="G220" s="1"/>
      <c r="H220" s="744"/>
      <c r="I220" s="1"/>
      <c r="J220" s="1"/>
      <c r="K220" s="1"/>
      <c r="L220" s="1"/>
      <c r="M220" s="1"/>
      <c r="N220" s="1"/>
      <c r="O220" s="1"/>
      <c r="P220" s="1"/>
      <c r="Q220" s="1"/>
      <c r="R220" s="1"/>
      <c r="S220" s="1"/>
      <c r="T220" s="1"/>
    </row>
    <row r="221" spans="1:20" ht="15" customHeight="1" x14ac:dyDescent="0.3">
      <c r="A221" s="1"/>
      <c r="B221" s="1"/>
      <c r="C221" s="1"/>
      <c r="D221" s="1"/>
      <c r="E221" s="1"/>
      <c r="F221" s="744"/>
      <c r="G221" s="1"/>
      <c r="H221" s="744"/>
      <c r="I221" s="1"/>
      <c r="J221" s="1"/>
      <c r="K221" s="1"/>
      <c r="L221" s="1"/>
      <c r="M221" s="1"/>
      <c r="N221" s="1"/>
      <c r="O221" s="1"/>
      <c r="P221" s="1"/>
      <c r="Q221" s="1"/>
      <c r="R221" s="1"/>
      <c r="S221" s="1"/>
      <c r="T221" s="1"/>
    </row>
    <row r="222" spans="1:20" ht="15" customHeight="1" x14ac:dyDescent="0.3">
      <c r="A222" s="1"/>
      <c r="B222" s="1"/>
      <c r="C222" s="1"/>
      <c r="D222" s="1"/>
      <c r="E222" s="1"/>
      <c r="F222" s="744"/>
      <c r="G222" s="1"/>
      <c r="H222" s="744"/>
      <c r="I222" s="1"/>
      <c r="J222" s="1"/>
      <c r="K222" s="1"/>
      <c r="L222" s="1"/>
      <c r="M222" s="1"/>
      <c r="N222" s="1"/>
      <c r="O222" s="1"/>
      <c r="P222" s="1"/>
      <c r="Q222" s="1"/>
      <c r="R222" s="1"/>
      <c r="S222" s="1"/>
      <c r="T222" s="1"/>
    </row>
    <row r="223" spans="1:20" ht="15" customHeight="1" x14ac:dyDescent="0.3">
      <c r="A223" s="1"/>
      <c r="B223" s="1"/>
      <c r="C223" s="1"/>
      <c r="D223" s="1"/>
      <c r="E223" s="1"/>
      <c r="F223" s="744"/>
      <c r="G223" s="1"/>
      <c r="H223" s="744"/>
      <c r="I223" s="1"/>
      <c r="J223" s="1"/>
      <c r="K223" s="1"/>
      <c r="L223" s="1"/>
      <c r="M223" s="1"/>
      <c r="N223" s="1"/>
      <c r="O223" s="1"/>
      <c r="P223" s="1"/>
      <c r="Q223" s="1"/>
      <c r="R223" s="1"/>
      <c r="S223" s="1"/>
      <c r="T223" s="1"/>
    </row>
    <row r="224" spans="1:20" ht="15" customHeight="1" x14ac:dyDescent="0.3">
      <c r="A224" s="1"/>
      <c r="B224" s="1"/>
      <c r="C224" s="1"/>
      <c r="D224" s="1"/>
      <c r="E224" s="1"/>
      <c r="F224" s="744"/>
      <c r="G224" s="1"/>
      <c r="H224" s="744"/>
      <c r="I224" s="1"/>
      <c r="J224" s="1"/>
      <c r="K224" s="1"/>
      <c r="L224" s="1"/>
      <c r="M224" s="1"/>
      <c r="N224" s="1"/>
      <c r="O224" s="1"/>
      <c r="P224" s="1"/>
      <c r="Q224" s="1"/>
      <c r="R224" s="1"/>
      <c r="S224" s="1"/>
      <c r="T224" s="1"/>
    </row>
    <row r="225" spans="1:20" ht="15" customHeight="1" x14ac:dyDescent="0.3">
      <c r="A225" s="1"/>
      <c r="B225" s="1"/>
      <c r="C225" s="1"/>
      <c r="D225" s="1"/>
      <c r="E225" s="1"/>
      <c r="F225" s="744"/>
      <c r="G225" s="1"/>
      <c r="H225" s="744"/>
      <c r="I225" s="1"/>
      <c r="J225" s="1"/>
      <c r="K225" s="1"/>
      <c r="L225" s="1"/>
      <c r="M225" s="1"/>
      <c r="N225" s="1"/>
      <c r="O225" s="1"/>
      <c r="P225" s="1"/>
      <c r="Q225" s="1"/>
      <c r="R225" s="1"/>
      <c r="S225" s="1"/>
      <c r="T225" s="1"/>
    </row>
    <row r="226" spans="1:20" ht="15" customHeight="1" x14ac:dyDescent="0.3">
      <c r="A226" s="1"/>
      <c r="B226" s="1"/>
      <c r="C226" s="1"/>
      <c r="D226" s="1"/>
      <c r="E226" s="1"/>
      <c r="F226" s="744"/>
      <c r="G226" s="1"/>
      <c r="H226" s="744"/>
      <c r="I226" s="1"/>
      <c r="J226" s="1"/>
      <c r="K226" s="1"/>
      <c r="L226" s="1"/>
      <c r="M226" s="1"/>
      <c r="N226" s="1"/>
      <c r="O226" s="1"/>
      <c r="P226" s="1"/>
      <c r="Q226" s="1"/>
      <c r="R226" s="1"/>
      <c r="S226" s="1"/>
      <c r="T226" s="1"/>
    </row>
    <row r="227" spans="1:20" ht="15" customHeight="1" x14ac:dyDescent="0.3">
      <c r="A227" s="1"/>
      <c r="B227" s="1"/>
      <c r="C227" s="1"/>
      <c r="D227" s="1"/>
      <c r="E227" s="1"/>
      <c r="F227" s="744"/>
      <c r="G227" s="1"/>
      <c r="H227" s="744"/>
      <c r="I227" s="1"/>
      <c r="J227" s="1"/>
      <c r="K227" s="1"/>
      <c r="L227" s="1"/>
      <c r="M227" s="1"/>
      <c r="N227" s="1"/>
      <c r="O227" s="1"/>
      <c r="P227" s="1"/>
      <c r="Q227" s="1"/>
      <c r="R227" s="1"/>
      <c r="S227" s="1"/>
      <c r="T227" s="1"/>
    </row>
    <row r="228" spans="1:20" ht="15" customHeight="1" x14ac:dyDescent="0.3">
      <c r="A228" s="1"/>
      <c r="B228" s="1"/>
      <c r="C228" s="1"/>
      <c r="D228" s="1"/>
      <c r="E228" s="1"/>
      <c r="F228" s="744"/>
      <c r="G228" s="1"/>
      <c r="H228" s="744"/>
      <c r="I228" s="1"/>
      <c r="J228" s="1"/>
      <c r="K228" s="1"/>
      <c r="L228" s="1"/>
      <c r="M228" s="1"/>
      <c r="N228" s="1"/>
      <c r="O228" s="1"/>
      <c r="P228" s="1"/>
      <c r="Q228" s="1"/>
      <c r="R228" s="1"/>
      <c r="S228" s="1"/>
      <c r="T228" s="1"/>
    </row>
    <row r="229" spans="1:20" ht="15" customHeight="1" x14ac:dyDescent="0.3">
      <c r="A229" s="1"/>
      <c r="B229" s="1"/>
      <c r="C229" s="1"/>
      <c r="D229" s="1"/>
      <c r="E229" s="1"/>
      <c r="F229" s="744"/>
      <c r="G229" s="1"/>
      <c r="H229" s="744"/>
      <c r="I229" s="1"/>
      <c r="J229" s="1"/>
      <c r="K229" s="1"/>
      <c r="L229" s="1"/>
      <c r="M229" s="1"/>
      <c r="N229" s="1"/>
      <c r="O229" s="1"/>
      <c r="P229" s="1"/>
      <c r="Q229" s="1"/>
      <c r="R229" s="1"/>
      <c r="S229" s="1"/>
      <c r="T229" s="1"/>
    </row>
    <row r="230" spans="1:20" ht="15" customHeight="1" x14ac:dyDescent="0.3">
      <c r="A230" s="1"/>
      <c r="B230" s="1"/>
      <c r="C230" s="1"/>
      <c r="D230" s="1"/>
      <c r="E230" s="1"/>
      <c r="F230" s="744"/>
      <c r="G230" s="1"/>
      <c r="H230" s="744"/>
      <c r="I230" s="1"/>
      <c r="J230" s="1"/>
      <c r="K230" s="1"/>
      <c r="L230" s="1"/>
      <c r="M230" s="1"/>
      <c r="N230" s="1"/>
      <c r="O230" s="1"/>
      <c r="P230" s="1"/>
      <c r="Q230" s="1"/>
      <c r="R230" s="1"/>
      <c r="S230" s="1"/>
      <c r="T230" s="1"/>
    </row>
    <row r="231" spans="1:20" ht="15" customHeight="1" x14ac:dyDescent="0.3">
      <c r="A231" s="1"/>
      <c r="B231" s="1"/>
      <c r="C231" s="1"/>
      <c r="D231" s="1"/>
      <c r="E231" s="1"/>
      <c r="F231" s="744"/>
      <c r="G231" s="1"/>
      <c r="H231" s="744"/>
      <c r="I231" s="1"/>
      <c r="J231" s="1"/>
      <c r="K231" s="1"/>
      <c r="L231" s="1"/>
      <c r="M231" s="1"/>
      <c r="N231" s="1"/>
      <c r="O231" s="1"/>
      <c r="P231" s="1"/>
      <c r="Q231" s="1"/>
      <c r="R231" s="1"/>
      <c r="S231" s="1"/>
      <c r="T231" s="1"/>
    </row>
    <row r="232" spans="1:20" ht="15" customHeight="1" x14ac:dyDescent="0.3">
      <c r="A232" s="1"/>
      <c r="B232" s="1"/>
      <c r="C232" s="1"/>
      <c r="D232" s="1"/>
      <c r="E232" s="1"/>
      <c r="F232" s="744"/>
      <c r="G232" s="1"/>
      <c r="H232" s="744"/>
      <c r="I232" s="1"/>
      <c r="J232" s="1"/>
      <c r="K232" s="1"/>
      <c r="L232" s="1"/>
      <c r="M232" s="1"/>
      <c r="N232" s="1"/>
      <c r="O232" s="1"/>
      <c r="P232" s="1"/>
      <c r="Q232" s="1"/>
      <c r="R232" s="1"/>
      <c r="S232" s="1"/>
      <c r="T232" s="1"/>
    </row>
    <row r="233" spans="1:20" ht="15" customHeight="1" x14ac:dyDescent="0.3">
      <c r="A233" s="1"/>
      <c r="B233" s="1"/>
      <c r="C233" s="1"/>
      <c r="D233" s="1"/>
      <c r="E233" s="1"/>
      <c r="F233" s="744"/>
      <c r="G233" s="1"/>
      <c r="H233" s="744"/>
      <c r="I233" s="1"/>
      <c r="J233" s="1"/>
      <c r="K233" s="1"/>
      <c r="L233" s="1"/>
      <c r="M233" s="1"/>
      <c r="N233" s="1"/>
      <c r="O233" s="1"/>
      <c r="P233" s="1"/>
      <c r="Q233" s="1"/>
      <c r="R233" s="1"/>
      <c r="S233" s="1"/>
      <c r="T233" s="1"/>
    </row>
    <row r="234" spans="1:20" ht="15" customHeight="1" x14ac:dyDescent="0.3">
      <c r="A234" s="1"/>
      <c r="B234" s="1"/>
      <c r="C234" s="1"/>
      <c r="D234" s="1"/>
      <c r="E234" s="1"/>
      <c r="F234" s="744"/>
      <c r="G234" s="1"/>
      <c r="H234" s="744"/>
      <c r="I234" s="1"/>
      <c r="J234" s="1"/>
      <c r="K234" s="1"/>
      <c r="L234" s="1"/>
      <c r="M234" s="1"/>
      <c r="N234" s="1"/>
      <c r="O234" s="1"/>
      <c r="P234" s="1"/>
      <c r="Q234" s="1"/>
      <c r="R234" s="1"/>
      <c r="S234" s="1"/>
      <c r="T234" s="1"/>
    </row>
    <row r="235" spans="1:20" ht="15" customHeight="1" x14ac:dyDescent="0.3">
      <c r="A235" s="1"/>
      <c r="B235" s="1"/>
      <c r="C235" s="1"/>
      <c r="D235" s="1"/>
      <c r="E235" s="1"/>
      <c r="F235" s="744"/>
      <c r="G235" s="1"/>
      <c r="H235" s="744"/>
      <c r="I235" s="1"/>
      <c r="J235" s="1"/>
      <c r="K235" s="1"/>
      <c r="L235" s="1"/>
      <c r="M235" s="1"/>
      <c r="N235" s="1"/>
      <c r="O235" s="1"/>
      <c r="P235" s="1"/>
      <c r="Q235" s="1"/>
      <c r="R235" s="1"/>
      <c r="S235" s="1"/>
      <c r="T235" s="1"/>
    </row>
    <row r="236" spans="1:20" ht="15" customHeight="1" x14ac:dyDescent="0.3">
      <c r="A236" s="1"/>
      <c r="B236" s="1"/>
      <c r="C236" s="1"/>
      <c r="D236" s="1"/>
      <c r="E236" s="1"/>
      <c r="F236" s="744"/>
      <c r="G236" s="1"/>
      <c r="H236" s="744"/>
      <c r="I236" s="1"/>
      <c r="J236" s="1"/>
      <c r="K236" s="1"/>
      <c r="L236" s="1"/>
      <c r="M236" s="1"/>
      <c r="N236" s="1"/>
      <c r="O236" s="1"/>
      <c r="P236" s="1"/>
      <c r="Q236" s="1"/>
      <c r="R236" s="1"/>
      <c r="S236" s="1"/>
      <c r="T236" s="1"/>
    </row>
    <row r="237" spans="1:20" ht="15" customHeight="1" x14ac:dyDescent="0.3">
      <c r="A237" s="1"/>
      <c r="B237" s="1"/>
      <c r="C237" s="1"/>
      <c r="D237" s="1"/>
      <c r="E237" s="1"/>
      <c r="F237" s="744"/>
      <c r="G237" s="1"/>
      <c r="H237" s="744"/>
      <c r="I237" s="1"/>
      <c r="J237" s="1"/>
      <c r="K237" s="1"/>
      <c r="L237" s="1"/>
      <c r="M237" s="1"/>
      <c r="N237" s="1"/>
      <c r="O237" s="1"/>
      <c r="P237" s="1"/>
      <c r="Q237" s="1"/>
      <c r="R237" s="1"/>
      <c r="S237" s="1"/>
      <c r="T237" s="1"/>
    </row>
    <row r="238" spans="1:20" ht="15" customHeight="1" x14ac:dyDescent="0.3">
      <c r="A238" s="1"/>
      <c r="B238" s="1"/>
      <c r="C238" s="1"/>
      <c r="D238" s="1"/>
      <c r="E238" s="1"/>
      <c r="F238" s="744"/>
      <c r="G238" s="1"/>
      <c r="H238" s="744"/>
      <c r="I238" s="1"/>
      <c r="J238" s="1"/>
      <c r="K238" s="1"/>
      <c r="L238" s="1"/>
      <c r="M238" s="1"/>
      <c r="N238" s="1"/>
      <c r="O238" s="1"/>
      <c r="P238" s="1"/>
      <c r="Q238" s="1"/>
      <c r="R238" s="1"/>
      <c r="S238" s="1"/>
      <c r="T238" s="1"/>
    </row>
    <row r="239" spans="1:20" ht="15" customHeight="1" x14ac:dyDescent="0.3">
      <c r="A239" s="1"/>
      <c r="B239" s="1"/>
      <c r="C239" s="1"/>
      <c r="D239" s="1"/>
      <c r="E239" s="1"/>
      <c r="F239" s="744"/>
      <c r="G239" s="1"/>
      <c r="H239" s="744"/>
      <c r="I239" s="1"/>
      <c r="J239" s="1"/>
      <c r="K239" s="1"/>
      <c r="L239" s="1"/>
      <c r="M239" s="1"/>
      <c r="N239" s="1"/>
      <c r="O239" s="1"/>
      <c r="P239" s="1"/>
      <c r="Q239" s="1"/>
      <c r="R239" s="1"/>
      <c r="S239" s="1"/>
      <c r="T239" s="1"/>
    </row>
    <row r="240" spans="1:20" ht="15" customHeight="1" x14ac:dyDescent="0.3">
      <c r="A240" s="1"/>
      <c r="B240" s="1"/>
      <c r="C240" s="1"/>
      <c r="D240" s="1"/>
      <c r="E240" s="1"/>
      <c r="F240" s="744"/>
      <c r="G240" s="1"/>
      <c r="H240" s="744"/>
      <c r="I240" s="1"/>
      <c r="J240" s="1"/>
      <c r="K240" s="1"/>
      <c r="L240" s="1"/>
      <c r="M240" s="1"/>
      <c r="N240" s="1"/>
      <c r="O240" s="1"/>
      <c r="P240" s="1"/>
      <c r="Q240" s="1"/>
      <c r="R240" s="1"/>
      <c r="S240" s="1"/>
      <c r="T240" s="1"/>
    </row>
    <row r="241" spans="1:20" ht="15" customHeight="1" x14ac:dyDescent="0.3">
      <c r="A241" s="1"/>
      <c r="B241" s="1"/>
      <c r="C241" s="1"/>
      <c r="D241" s="1"/>
      <c r="E241" s="1"/>
      <c r="F241" s="744"/>
      <c r="G241" s="1"/>
      <c r="H241" s="744"/>
      <c r="I241" s="1"/>
      <c r="J241" s="1"/>
      <c r="K241" s="1"/>
      <c r="L241" s="1"/>
      <c r="M241" s="1"/>
      <c r="N241" s="1"/>
      <c r="O241" s="1"/>
      <c r="P241" s="1"/>
      <c r="Q241" s="1"/>
      <c r="R241" s="1"/>
      <c r="S241" s="1"/>
      <c r="T241" s="1"/>
    </row>
    <row r="242" spans="1:20" ht="15" customHeight="1" x14ac:dyDescent="0.3">
      <c r="A242" s="1"/>
      <c r="B242" s="1"/>
      <c r="C242" s="1"/>
      <c r="D242" s="1"/>
      <c r="E242" s="1"/>
      <c r="F242" s="744"/>
      <c r="G242" s="1"/>
      <c r="H242" s="744"/>
      <c r="I242" s="1"/>
      <c r="J242" s="1"/>
      <c r="K242" s="1"/>
      <c r="L242" s="1"/>
      <c r="M242" s="1"/>
      <c r="N242" s="1"/>
      <c r="O242" s="1"/>
      <c r="P242" s="1"/>
      <c r="Q242" s="1"/>
      <c r="R242" s="1"/>
      <c r="S242" s="1"/>
      <c r="T242" s="1"/>
    </row>
    <row r="243" spans="1:20" ht="15" customHeight="1" x14ac:dyDescent="0.3">
      <c r="A243" s="1"/>
      <c r="B243" s="1"/>
      <c r="C243" s="1"/>
      <c r="D243" s="1"/>
      <c r="E243" s="1"/>
      <c r="F243" s="744"/>
      <c r="G243" s="1"/>
      <c r="H243" s="744"/>
      <c r="I243" s="1"/>
      <c r="J243" s="1"/>
      <c r="K243" s="1"/>
      <c r="L243" s="1"/>
      <c r="M243" s="1"/>
      <c r="N243" s="1"/>
      <c r="O243" s="1"/>
      <c r="P243" s="1"/>
      <c r="Q243" s="1"/>
      <c r="R243" s="1"/>
      <c r="S243" s="1"/>
      <c r="T243" s="1"/>
    </row>
    <row r="244" spans="1:20" ht="15" customHeight="1" x14ac:dyDescent="0.3">
      <c r="A244" s="1"/>
      <c r="B244" s="1"/>
      <c r="C244" s="1"/>
      <c r="D244" s="1"/>
      <c r="E244" s="1"/>
      <c r="F244" s="744"/>
      <c r="G244" s="1"/>
      <c r="H244" s="744"/>
      <c r="I244" s="1"/>
      <c r="J244" s="1"/>
      <c r="K244" s="1"/>
      <c r="L244" s="1"/>
      <c r="M244" s="1"/>
      <c r="N244" s="1"/>
      <c r="O244" s="1"/>
      <c r="P244" s="1"/>
      <c r="Q244" s="1"/>
      <c r="R244" s="1"/>
      <c r="S244" s="1"/>
      <c r="T244" s="1"/>
    </row>
    <row r="245" spans="1:20" ht="15" customHeight="1" x14ac:dyDescent="0.3">
      <c r="A245" s="1"/>
      <c r="B245" s="1"/>
      <c r="C245" s="1"/>
      <c r="D245" s="1"/>
      <c r="E245" s="1"/>
      <c r="F245" s="744"/>
      <c r="G245" s="1"/>
      <c r="H245" s="744"/>
      <c r="I245" s="1"/>
      <c r="J245" s="1"/>
      <c r="K245" s="1"/>
      <c r="L245" s="1"/>
      <c r="M245" s="1"/>
      <c r="N245" s="1"/>
      <c r="O245" s="1"/>
      <c r="P245" s="1"/>
      <c r="Q245" s="1"/>
      <c r="R245" s="1"/>
      <c r="S245" s="1"/>
      <c r="T245" s="1"/>
    </row>
    <row r="246" spans="1:20" ht="15" customHeight="1" x14ac:dyDescent="0.3">
      <c r="A246" s="1"/>
      <c r="B246" s="1"/>
      <c r="C246" s="1"/>
      <c r="D246" s="1"/>
      <c r="E246" s="1"/>
      <c r="F246" s="744"/>
      <c r="G246" s="1"/>
      <c r="H246" s="744"/>
      <c r="I246" s="1"/>
      <c r="J246" s="1"/>
      <c r="K246" s="1"/>
      <c r="L246" s="1"/>
      <c r="M246" s="1"/>
      <c r="N246" s="1"/>
      <c r="O246" s="1"/>
      <c r="P246" s="1"/>
      <c r="Q246" s="1"/>
      <c r="R246" s="1"/>
      <c r="S246" s="1"/>
      <c r="T246" s="1"/>
    </row>
    <row r="247" spans="1:20" ht="15" customHeight="1" x14ac:dyDescent="0.3">
      <c r="A247" s="1"/>
      <c r="B247" s="1"/>
      <c r="C247" s="1"/>
      <c r="D247" s="1"/>
      <c r="E247" s="1"/>
      <c r="F247" s="744"/>
      <c r="G247" s="1"/>
      <c r="H247" s="744"/>
      <c r="I247" s="1"/>
      <c r="J247" s="1"/>
      <c r="K247" s="1"/>
      <c r="L247" s="1"/>
      <c r="M247" s="1"/>
      <c r="N247" s="1"/>
      <c r="O247" s="1"/>
      <c r="P247" s="1"/>
      <c r="Q247" s="1"/>
      <c r="R247" s="1"/>
      <c r="S247" s="1"/>
      <c r="T247" s="1"/>
    </row>
    <row r="248" spans="1:20" ht="15" customHeight="1" x14ac:dyDescent="0.3">
      <c r="A248" s="1"/>
      <c r="B248" s="1"/>
      <c r="C248" s="1"/>
      <c r="D248" s="1"/>
      <c r="E248" s="1"/>
      <c r="F248" s="744"/>
      <c r="G248" s="1"/>
      <c r="H248" s="744"/>
      <c r="I248" s="1"/>
      <c r="J248" s="1"/>
      <c r="K248" s="1"/>
      <c r="L248" s="1"/>
      <c r="M248" s="1"/>
      <c r="N248" s="1"/>
      <c r="O248" s="1"/>
      <c r="P248" s="1"/>
      <c r="Q248" s="1"/>
      <c r="R248" s="1"/>
      <c r="S248" s="1"/>
      <c r="T248" s="1"/>
    </row>
    <row r="249" spans="1:20" ht="15" customHeight="1" x14ac:dyDescent="0.3">
      <c r="A249" s="1"/>
      <c r="B249" s="1"/>
      <c r="C249" s="1"/>
      <c r="D249" s="1"/>
      <c r="E249" s="1"/>
      <c r="F249" s="744"/>
      <c r="G249" s="1"/>
      <c r="H249" s="744"/>
      <c r="I249" s="1"/>
      <c r="J249" s="1"/>
      <c r="K249" s="1"/>
      <c r="L249" s="1"/>
      <c r="M249" s="1"/>
      <c r="N249" s="1"/>
      <c r="O249" s="1"/>
      <c r="P249" s="1"/>
      <c r="Q249" s="1"/>
      <c r="R249" s="1"/>
      <c r="S249" s="1"/>
      <c r="T249" s="1"/>
    </row>
    <row r="250" spans="1:20" ht="15" customHeight="1" x14ac:dyDescent="0.3">
      <c r="A250" s="1"/>
      <c r="B250" s="1"/>
      <c r="C250" s="1"/>
      <c r="D250" s="1"/>
      <c r="E250" s="1"/>
      <c r="F250" s="744"/>
      <c r="G250" s="1"/>
      <c r="H250" s="744"/>
      <c r="I250" s="1"/>
      <c r="J250" s="1"/>
      <c r="K250" s="1"/>
      <c r="L250" s="1"/>
      <c r="M250" s="1"/>
      <c r="N250" s="1"/>
      <c r="O250" s="1"/>
      <c r="P250" s="1"/>
      <c r="Q250" s="1"/>
      <c r="R250" s="1"/>
      <c r="S250" s="1"/>
      <c r="T250" s="1"/>
    </row>
    <row r="251" spans="1:20" ht="15" customHeight="1" x14ac:dyDescent="0.3">
      <c r="A251" s="1"/>
      <c r="B251" s="1"/>
      <c r="C251" s="1"/>
      <c r="D251" s="1"/>
      <c r="E251" s="1"/>
      <c r="F251" s="744"/>
      <c r="G251" s="1"/>
      <c r="H251" s="744"/>
      <c r="I251" s="1"/>
      <c r="J251" s="1"/>
      <c r="K251" s="1"/>
      <c r="L251" s="1"/>
      <c r="M251" s="1"/>
      <c r="N251" s="1"/>
      <c r="O251" s="1"/>
      <c r="P251" s="1"/>
      <c r="Q251" s="1"/>
      <c r="R251" s="1"/>
      <c r="S251" s="1"/>
      <c r="T251" s="1"/>
    </row>
    <row r="252" spans="1:20" ht="15" customHeight="1" x14ac:dyDescent="0.3">
      <c r="A252" s="1"/>
      <c r="B252" s="1"/>
      <c r="C252" s="1"/>
      <c r="D252" s="1"/>
      <c r="E252" s="1"/>
      <c r="F252" s="744"/>
      <c r="G252" s="1"/>
      <c r="H252" s="744"/>
      <c r="I252" s="1"/>
      <c r="J252" s="1"/>
      <c r="K252" s="1"/>
      <c r="L252" s="1"/>
      <c r="M252" s="1"/>
      <c r="N252" s="1"/>
      <c r="O252" s="1"/>
      <c r="P252" s="1"/>
      <c r="Q252" s="1"/>
      <c r="R252" s="1"/>
      <c r="S252" s="1"/>
      <c r="T252" s="1"/>
    </row>
    <row r="253" spans="1:20" ht="15" customHeight="1" x14ac:dyDescent="0.3">
      <c r="A253" s="1"/>
      <c r="B253" s="1"/>
      <c r="C253" s="1"/>
      <c r="D253" s="1"/>
      <c r="E253" s="1"/>
      <c r="F253" s="744"/>
      <c r="G253" s="1"/>
      <c r="H253" s="744"/>
      <c r="I253" s="1"/>
      <c r="J253" s="1"/>
      <c r="K253" s="1"/>
      <c r="L253" s="1"/>
      <c r="M253" s="1"/>
      <c r="N253" s="1"/>
      <c r="O253" s="1"/>
      <c r="P253" s="1"/>
      <c r="Q253" s="1"/>
      <c r="R253" s="1"/>
      <c r="S253" s="1"/>
      <c r="T253" s="1"/>
    </row>
    <row r="254" spans="1:20" ht="15" customHeight="1" x14ac:dyDescent="0.3">
      <c r="A254" s="1"/>
      <c r="B254" s="1"/>
      <c r="C254" s="1"/>
      <c r="D254" s="1"/>
      <c r="E254" s="1"/>
      <c r="F254" s="744"/>
      <c r="G254" s="1"/>
      <c r="H254" s="744"/>
      <c r="I254" s="1"/>
      <c r="J254" s="1"/>
      <c r="K254" s="1"/>
      <c r="L254" s="1"/>
      <c r="M254" s="1"/>
      <c r="N254" s="1"/>
      <c r="O254" s="1"/>
      <c r="P254" s="1"/>
      <c r="Q254" s="1"/>
      <c r="R254" s="1"/>
      <c r="S254" s="1"/>
      <c r="T254" s="1"/>
    </row>
    <row r="255" spans="1:20" ht="15" customHeight="1" x14ac:dyDescent="0.3">
      <c r="A255" s="1"/>
      <c r="B255" s="1"/>
      <c r="C255" s="1"/>
      <c r="D255" s="1"/>
      <c r="E255" s="1"/>
      <c r="F255" s="744"/>
      <c r="G255" s="1"/>
      <c r="H255" s="744"/>
      <c r="I255" s="1"/>
      <c r="J255" s="1"/>
      <c r="K255" s="1"/>
      <c r="L255" s="1"/>
      <c r="M255" s="1"/>
      <c r="N255" s="1"/>
      <c r="O255" s="1"/>
      <c r="P255" s="1"/>
      <c r="Q255" s="1"/>
      <c r="R255" s="1"/>
      <c r="S255" s="1"/>
      <c r="T255" s="1"/>
    </row>
    <row r="256" spans="1:20" ht="15" customHeight="1" x14ac:dyDescent="0.3">
      <c r="A256" s="1"/>
      <c r="B256" s="1"/>
      <c r="C256" s="1"/>
      <c r="D256" s="1"/>
      <c r="E256" s="1"/>
      <c r="F256" s="744"/>
      <c r="G256" s="1"/>
      <c r="H256" s="744"/>
      <c r="I256" s="1"/>
      <c r="J256" s="1"/>
      <c r="K256" s="1"/>
      <c r="L256" s="1"/>
      <c r="M256" s="1"/>
      <c r="N256" s="1"/>
      <c r="O256" s="1"/>
      <c r="P256" s="1"/>
      <c r="Q256" s="1"/>
      <c r="R256" s="1"/>
      <c r="S256" s="1"/>
      <c r="T256" s="1"/>
    </row>
    <row r="257" spans="1:20" ht="15" customHeight="1" x14ac:dyDescent="0.3">
      <c r="A257" s="1"/>
      <c r="B257" s="1"/>
      <c r="C257" s="1"/>
      <c r="D257" s="1"/>
      <c r="E257" s="1"/>
      <c r="F257" s="744"/>
      <c r="G257" s="1"/>
      <c r="H257" s="744"/>
      <c r="I257" s="1"/>
      <c r="J257" s="1"/>
      <c r="K257" s="1"/>
      <c r="L257" s="1"/>
      <c r="M257" s="1"/>
      <c r="N257" s="1"/>
      <c r="O257" s="1"/>
      <c r="P257" s="1"/>
      <c r="Q257" s="1"/>
      <c r="R257" s="1"/>
      <c r="S257" s="1"/>
      <c r="T257" s="1"/>
    </row>
    <row r="258" spans="1:20" ht="15" customHeight="1" x14ac:dyDescent="0.3">
      <c r="A258" s="1"/>
      <c r="B258" s="1"/>
      <c r="C258" s="1"/>
      <c r="D258" s="1"/>
      <c r="E258" s="1"/>
      <c r="F258" s="744"/>
      <c r="G258" s="1"/>
      <c r="H258" s="744"/>
      <c r="I258" s="1"/>
      <c r="J258" s="1"/>
      <c r="K258" s="1"/>
      <c r="L258" s="1"/>
      <c r="M258" s="1"/>
      <c r="N258" s="1"/>
      <c r="O258" s="1"/>
      <c r="P258" s="1"/>
      <c r="Q258" s="1"/>
      <c r="R258" s="1"/>
      <c r="S258" s="1"/>
      <c r="T258" s="1"/>
    </row>
    <row r="259" spans="1:20" ht="15" customHeight="1" x14ac:dyDescent="0.3">
      <c r="A259" s="1"/>
      <c r="B259" s="1"/>
      <c r="C259" s="1"/>
      <c r="D259" s="1"/>
      <c r="E259" s="1"/>
      <c r="F259" s="744"/>
      <c r="G259" s="1"/>
      <c r="H259" s="744"/>
      <c r="I259" s="1"/>
      <c r="J259" s="1"/>
      <c r="K259" s="1"/>
      <c r="L259" s="1"/>
      <c r="M259" s="1"/>
      <c r="N259" s="1"/>
      <c r="O259" s="1"/>
      <c r="P259" s="1"/>
      <c r="Q259" s="1"/>
      <c r="R259" s="1"/>
      <c r="S259" s="1"/>
      <c r="T259" s="1"/>
    </row>
    <row r="260" spans="1:20" ht="15" customHeight="1" x14ac:dyDescent="0.3">
      <c r="A260" s="1"/>
      <c r="B260" s="1"/>
      <c r="C260" s="1"/>
      <c r="D260" s="1"/>
      <c r="E260" s="1"/>
      <c r="F260" s="744"/>
      <c r="G260" s="1"/>
      <c r="H260" s="744"/>
      <c r="I260" s="1"/>
      <c r="J260" s="1"/>
      <c r="K260" s="1"/>
      <c r="L260" s="1"/>
      <c r="M260" s="1"/>
      <c r="N260" s="1"/>
      <c r="O260" s="1"/>
      <c r="P260" s="1"/>
      <c r="Q260" s="1"/>
      <c r="R260" s="1"/>
      <c r="S260" s="1"/>
      <c r="T260" s="1"/>
    </row>
    <row r="261" spans="1:20" ht="15" customHeight="1" x14ac:dyDescent="0.3">
      <c r="A261" s="1"/>
      <c r="B261" s="1"/>
      <c r="C261" s="1"/>
      <c r="D261" s="1"/>
      <c r="E261" s="1"/>
      <c r="F261" s="744"/>
      <c r="G261" s="1"/>
      <c r="H261" s="744"/>
      <c r="I261" s="1"/>
      <c r="J261" s="1"/>
      <c r="K261" s="1"/>
      <c r="L261" s="1"/>
      <c r="M261" s="1"/>
      <c r="N261" s="1"/>
      <c r="O261" s="1"/>
      <c r="P261" s="1"/>
      <c r="Q261" s="1"/>
      <c r="R261" s="1"/>
      <c r="S261" s="1"/>
      <c r="T261" s="1"/>
    </row>
    <row r="262" spans="1:20" ht="15" customHeight="1" x14ac:dyDescent="0.3">
      <c r="A262" s="1"/>
      <c r="B262" s="1"/>
      <c r="C262" s="1"/>
      <c r="D262" s="1"/>
      <c r="E262" s="1"/>
      <c r="F262" s="744"/>
      <c r="G262" s="1"/>
      <c r="H262" s="744"/>
      <c r="I262" s="1"/>
      <c r="J262" s="1"/>
      <c r="K262" s="1"/>
      <c r="L262" s="1"/>
      <c r="M262" s="1"/>
      <c r="N262" s="1"/>
      <c r="O262" s="1"/>
      <c r="P262" s="1"/>
      <c r="Q262" s="1"/>
      <c r="R262" s="1"/>
      <c r="S262" s="1"/>
      <c r="T262" s="1"/>
    </row>
    <row r="263" spans="1:20" ht="15" customHeight="1" x14ac:dyDescent="0.3">
      <c r="A263" s="1"/>
      <c r="B263" s="1"/>
      <c r="C263" s="1"/>
      <c r="D263" s="1"/>
      <c r="E263" s="1"/>
      <c r="F263" s="744"/>
      <c r="G263" s="1"/>
      <c r="H263" s="744"/>
      <c r="I263" s="1"/>
      <c r="J263" s="1"/>
      <c r="K263" s="1"/>
      <c r="L263" s="1"/>
      <c r="M263" s="1"/>
      <c r="N263" s="1"/>
      <c r="O263" s="1"/>
      <c r="P263" s="1"/>
      <c r="Q263" s="1"/>
      <c r="R263" s="1"/>
      <c r="S263" s="1"/>
      <c r="T263" s="1"/>
    </row>
    <row r="264" spans="1:20" ht="15" customHeight="1" x14ac:dyDescent="0.3">
      <c r="A264" s="1"/>
      <c r="B264" s="1"/>
      <c r="C264" s="1"/>
      <c r="D264" s="1"/>
      <c r="E264" s="1"/>
      <c r="F264" s="744"/>
      <c r="G264" s="1"/>
      <c r="H264" s="744"/>
      <c r="I264" s="1"/>
      <c r="J264" s="1"/>
      <c r="K264" s="1"/>
      <c r="L264" s="1"/>
      <c r="M264" s="1"/>
      <c r="N264" s="1"/>
      <c r="O264" s="1"/>
      <c r="P264" s="1"/>
      <c r="Q264" s="1"/>
      <c r="R264" s="1"/>
      <c r="S264" s="1"/>
      <c r="T264" s="1"/>
    </row>
    <row r="265" spans="1:20" ht="15" customHeight="1" x14ac:dyDescent="0.3">
      <c r="A265" s="1"/>
      <c r="B265" s="1"/>
      <c r="C265" s="1"/>
      <c r="D265" s="1"/>
      <c r="E265" s="1"/>
      <c r="F265" s="744"/>
      <c r="G265" s="1"/>
      <c r="H265" s="744"/>
      <c r="I265" s="1"/>
      <c r="J265" s="1"/>
      <c r="K265" s="1"/>
      <c r="L265" s="1"/>
      <c r="M265" s="1"/>
      <c r="N265" s="1"/>
      <c r="O265" s="1"/>
      <c r="P265" s="1"/>
      <c r="Q265" s="1"/>
      <c r="R265" s="1"/>
      <c r="S265" s="1"/>
      <c r="T265" s="1"/>
    </row>
    <row r="266" spans="1:20" ht="15" customHeight="1" x14ac:dyDescent="0.3">
      <c r="A266" s="1"/>
      <c r="B266" s="1"/>
      <c r="C266" s="1"/>
      <c r="D266" s="1"/>
      <c r="E266" s="1"/>
      <c r="F266" s="744"/>
      <c r="G266" s="1"/>
      <c r="H266" s="744"/>
      <c r="I266" s="1"/>
      <c r="J266" s="1"/>
      <c r="K266" s="1"/>
      <c r="L266" s="1"/>
      <c r="M266" s="1"/>
      <c r="N266" s="1"/>
      <c r="O266" s="1"/>
      <c r="P266" s="1"/>
      <c r="Q266" s="1"/>
      <c r="R266" s="1"/>
      <c r="S266" s="1"/>
      <c r="T266" s="1"/>
    </row>
  </sheetData>
  <sheetProtection algorithmName="SHA-512" hashValue="06ou80HzulYwQBrGtPYKHv7kbOaapBvrt+GTRGm+MD8chwFId0277zv9OaaQl+Ci7h0TWQYG/AVpIn3PGkLnww==" saltValue="nvl1790MD8C6OoTBxwZMKw==" spinCount="100000" sheet="1" objects="1" scenarios="1"/>
  <mergeCells count="17">
    <mergeCell ref="B80:B88"/>
    <mergeCell ref="E82:I87"/>
    <mergeCell ref="D80:J80"/>
    <mergeCell ref="B66:B78"/>
    <mergeCell ref="L66:L78"/>
    <mergeCell ref="D66:J66"/>
    <mergeCell ref="D55:J55"/>
    <mergeCell ref="B4:B23"/>
    <mergeCell ref="N4:N23"/>
    <mergeCell ref="L4:L23"/>
    <mergeCell ref="B25:B53"/>
    <mergeCell ref="L25:L53"/>
    <mergeCell ref="N25:N53"/>
    <mergeCell ref="D25:J25"/>
    <mergeCell ref="D4:J4"/>
    <mergeCell ref="B55:B64"/>
    <mergeCell ref="L55:L63"/>
  </mergeCells>
  <conditionalFormatting sqref="F18 E20">
    <cfRule type="expression" dxfId="44" priority="5">
      <formula>$F$18&lt;&gt;$F$19</formula>
    </cfRule>
  </conditionalFormatting>
  <conditionalFormatting sqref="F45 E46">
    <cfRule type="expression" dxfId="43" priority="7">
      <formula>$F$45&lt;&gt;$F$44</formula>
    </cfRule>
  </conditionalFormatting>
  <conditionalFormatting sqref="F72 E74">
    <cfRule type="expression" dxfId="42" priority="2">
      <formula>$F$72&gt;$F$73</formula>
    </cfRule>
  </conditionalFormatting>
  <conditionalFormatting sqref="H18 E20">
    <cfRule type="expression" dxfId="41" priority="4">
      <formula>$H$18&lt;&gt;$H$19</formula>
    </cfRule>
  </conditionalFormatting>
  <conditionalFormatting sqref="H45 E46">
    <cfRule type="expression" dxfId="40" priority="3">
      <formula>$H$45&lt;&gt;$H$44</formula>
    </cfRule>
  </conditionalFormatting>
  <conditionalFormatting sqref="H72 E74">
    <cfRule type="expression" dxfId="39" priority="1">
      <formula>$H$72&gt;$H$73</formula>
    </cfRule>
  </conditionalFormatting>
  <dataValidations count="9">
    <dataValidation type="list" allowBlank="1" showErrorMessage="1" sqref="F27 F57" xr:uid="{64B270EE-9176-46E4-8883-D910A1349BEF}">
      <formula1>"Yes,No"</formula1>
    </dataValidation>
    <dataValidation allowBlank="1" showInputMessage="1" showErrorMessage="1" prompt="Site area with a ratio of soil or mulch to plants of greater than 50% (or in other words, more dirt or mulch than plants)" sqref="E32 I33" xr:uid="{9FB2620C-0008-407E-B929-A1B72A1DAF09}"/>
    <dataValidation allowBlank="1" showInputMessage="1" showErrorMessage="1" prompt="Salt marsh, freshwater, or riparian" sqref="E41" xr:uid="{31D2DE64-F849-4AF9-B0FA-C8DBB526A958}"/>
    <dataValidation allowBlank="1" showInputMessage="1" showErrorMessage="1" prompt="Bioswales and rain gardens" sqref="E37" xr:uid="{0A3849D2-6BE0-475D-A82B-0177CE2AB9EE}"/>
    <dataValidation allowBlank="1" showInputMessage="1" showErrorMessage="1" prompt="Non-native and/or decorative not adapted to local climate. " sqref="E30:E31" xr:uid="{C528E6AD-BA79-4193-B7DC-085F9336F6D4}"/>
    <dataValidation allowBlank="1" showInputMessage="1" showErrorMessage="1" prompt="Does the design incorporate ground, midlevel, subcanopy, and canopy planting structures?" sqref="E36" xr:uid="{9FD614B1-1F32-4AE2-8198-D865209D6993}"/>
    <dataValidation type="whole" allowBlank="1" showInputMessage="1" showErrorMessage="1" error="Numerical input as whole number only. " sqref="H40:H42 F18 H50 F40:F42 F30:F32 H30:H32 F35:F37 H35:H37 F50 F11:F15 F7:F8 H7:H8 H18 H11:H15 F69:F71 H69:H71" xr:uid="{A3C1B1B8-B7C3-414F-97B6-0593A22E3546}">
      <formula1>0</formula1>
      <formula2>1000000000</formula2>
    </dataValidation>
    <dataValidation type="decimal" allowBlank="1" showInputMessage="1" showErrorMessage="1" error="Numerical input as a decimal number only. " sqref="F60" xr:uid="{F9C43B26-3DF9-42A4-BDEE-459E55B60583}">
      <formula1>-100000000</formula1>
      <formula2>1000000000</formula2>
    </dataValidation>
    <dataValidation type="whole" allowBlank="1" showInputMessage="1" showErrorMessage="1" error="Numerical input as whole number only. Most ecosystems hit their carbon carrying capacity in the first 100 years. Modeled time period for landscaping should not exceed 100 years." sqref="F59" xr:uid="{814A5013-5534-49FF-961A-D54BF683F24A}">
      <formula1>0</formula1>
      <formula2>100</formula2>
    </dataValidation>
  </dataValidations>
  <hyperlinks>
    <hyperlink ref="N55" r:id="rId1" xr:uid="{FE7C7FD0-5F4E-475C-8E06-6525E0CAD2FC}"/>
    <hyperlink ref="N56" r:id="rId2" xr:uid="{C5BDD5F0-D00B-4FF2-AA41-199DE0CA8597}"/>
  </hyperlinks>
  <pageMargins left="0.7" right="0.7" top="0.75" bottom="0.75" header="0" footer="0"/>
  <pageSetup orientation="landscape" r:id="rId3"/>
  <ignoredErrors>
    <ignoredError sqref="H44"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15285-516B-4F43-A454-71E57F9A0076}">
  <sheetPr codeName="Sheet5">
    <outlinePr summaryBelow="0" summaryRight="0"/>
  </sheetPr>
  <dimension ref="A1:AP323"/>
  <sheetViews>
    <sheetView workbookViewId="0">
      <selection activeCell="H101" sqref="H101"/>
    </sheetView>
  </sheetViews>
  <sheetFormatPr defaultColWidth="14.453125" defaultRowHeight="14.4" customHeight="1" x14ac:dyDescent="0.35"/>
  <cols>
    <col min="1" max="1" width="3.36328125" style="63" customWidth="1"/>
    <col min="2" max="2" width="43" style="1079" customWidth="1"/>
    <col min="3" max="3" width="4.08984375" style="63" customWidth="1"/>
    <col min="4" max="4" width="3.6328125" style="63" customWidth="1"/>
    <col min="5" max="5" width="16.6328125" style="63" customWidth="1"/>
    <col min="6" max="6" width="20.6328125" style="63" customWidth="1"/>
    <col min="7" max="7" width="16.6328125" style="63" customWidth="1"/>
    <col min="8" max="8" width="20.6328125" style="63" customWidth="1"/>
    <col min="9" max="9" width="6.6328125" style="63" customWidth="1"/>
    <col min="10" max="10" width="10.6328125" style="63" customWidth="1"/>
    <col min="11" max="14" width="16.6328125" style="63" customWidth="1"/>
    <col min="15" max="15" width="3.6328125" style="63" customWidth="1"/>
    <col min="16" max="16" width="3.54296875" style="63" customWidth="1"/>
    <col min="17" max="17" width="38.54296875" style="63" customWidth="1"/>
    <col min="18" max="18" width="8.6328125" style="290" customWidth="1"/>
    <col min="19" max="21" width="8.6328125" style="63" customWidth="1"/>
    <col min="22" max="22" width="3" style="63" customWidth="1"/>
    <col min="23" max="23" width="11" style="63" customWidth="1"/>
    <col min="24" max="27" width="8.6328125" style="63" customWidth="1"/>
    <col min="28" max="29" width="14.453125" style="889"/>
    <col min="30" max="34" width="14.453125" style="890"/>
    <col min="35" max="41" width="14.453125" style="47"/>
    <col min="42" max="16384" width="14.453125" style="63"/>
  </cols>
  <sheetData>
    <row r="1" spans="1:42" s="891" customFormat="1" ht="21" x14ac:dyDescent="0.35">
      <c r="A1" s="343"/>
      <c r="B1" s="886" t="s">
        <v>694</v>
      </c>
      <c r="C1" s="343"/>
      <c r="D1" s="343"/>
      <c r="E1" s="343"/>
      <c r="F1" s="343"/>
      <c r="G1" s="343"/>
      <c r="H1" s="887"/>
      <c r="I1" s="887"/>
      <c r="J1" s="887"/>
      <c r="K1" s="887"/>
      <c r="L1" s="887"/>
      <c r="M1" s="887"/>
      <c r="N1" s="887"/>
      <c r="O1" s="887"/>
      <c r="P1" s="887"/>
      <c r="Q1" s="887"/>
      <c r="R1" s="888"/>
      <c r="S1" s="887"/>
      <c r="T1" s="887"/>
      <c r="U1" s="887"/>
      <c r="V1" s="887"/>
      <c r="W1" s="887"/>
      <c r="X1" s="887"/>
      <c r="Y1" s="887"/>
      <c r="Z1" s="887"/>
      <c r="AA1" s="887"/>
      <c r="AB1" s="889"/>
      <c r="AC1" s="889"/>
      <c r="AD1" s="890"/>
      <c r="AE1" s="890"/>
      <c r="AF1" s="890"/>
      <c r="AG1" s="890"/>
      <c r="AH1" s="890"/>
      <c r="AI1" s="890"/>
      <c r="AJ1" s="890"/>
      <c r="AK1" s="890"/>
      <c r="AL1" s="890"/>
      <c r="AM1" s="890"/>
      <c r="AN1" s="890"/>
      <c r="AO1" s="890"/>
      <c r="AP1" s="889"/>
    </row>
    <row r="2" spans="1:42" ht="14.4" customHeight="1" x14ac:dyDescent="0.35">
      <c r="A2" s="8"/>
      <c r="B2" s="892"/>
      <c r="C2" s="8"/>
      <c r="D2" s="8"/>
      <c r="E2" s="8"/>
      <c r="F2" s="8"/>
      <c r="G2" s="8"/>
      <c r="H2" s="8"/>
      <c r="I2" s="8"/>
      <c r="J2" s="8"/>
      <c r="K2" s="8"/>
      <c r="L2" s="8"/>
      <c r="M2" s="8"/>
      <c r="N2" s="8"/>
      <c r="O2" s="8"/>
      <c r="P2" s="8"/>
      <c r="Q2" s="8"/>
      <c r="R2" s="64"/>
      <c r="S2" s="8"/>
      <c r="T2" s="8"/>
      <c r="U2" s="8"/>
      <c r="V2" s="8"/>
      <c r="W2" s="8"/>
      <c r="X2" s="8"/>
      <c r="Y2" s="8"/>
      <c r="Z2" s="8"/>
      <c r="AA2" s="8"/>
      <c r="AI2" s="275"/>
      <c r="AJ2" s="275"/>
      <c r="AK2" s="275"/>
      <c r="AL2" s="275"/>
      <c r="AM2" s="275"/>
      <c r="AN2" s="275"/>
      <c r="AO2" s="275"/>
      <c r="AP2" s="8"/>
    </row>
    <row r="3" spans="1:42" s="901" customFormat="1" ht="14.4" customHeight="1" thickBot="1" x14ac:dyDescent="0.4">
      <c r="A3" s="893"/>
      <c r="B3" s="894" t="s">
        <v>71</v>
      </c>
      <c r="C3" s="893"/>
      <c r="D3" s="1688" t="s">
        <v>683</v>
      </c>
      <c r="E3" s="1689"/>
      <c r="F3" s="1689"/>
      <c r="G3" s="1689"/>
      <c r="H3" s="1689"/>
      <c r="I3" s="896"/>
      <c r="J3" s="893"/>
      <c r="K3" s="893"/>
      <c r="L3" s="893"/>
      <c r="M3" s="893"/>
      <c r="N3" s="893"/>
      <c r="O3" s="893"/>
      <c r="P3" s="893"/>
      <c r="Q3" s="895" t="s">
        <v>118</v>
      </c>
      <c r="R3" s="897"/>
      <c r="S3" s="893"/>
      <c r="T3" s="893"/>
      <c r="U3" s="893"/>
      <c r="V3" s="893"/>
      <c r="W3" s="895" t="s">
        <v>119</v>
      </c>
      <c r="X3" s="893"/>
      <c r="Y3" s="893"/>
      <c r="Z3" s="893"/>
      <c r="AA3" s="893"/>
      <c r="AB3" s="898"/>
      <c r="AC3" s="898"/>
      <c r="AD3" s="899"/>
      <c r="AE3" s="899"/>
      <c r="AF3" s="899"/>
      <c r="AG3" s="899"/>
      <c r="AH3" s="899"/>
      <c r="AI3" s="900"/>
      <c r="AJ3" s="900"/>
      <c r="AK3" s="900"/>
      <c r="AL3" s="900"/>
      <c r="AM3" s="900"/>
      <c r="AN3" s="900"/>
      <c r="AO3" s="900"/>
      <c r="AP3" s="893"/>
    </row>
    <row r="4" spans="1:42" s="301" customFormat="1" ht="14.4" customHeight="1" x14ac:dyDescent="0.35">
      <c r="A4" s="8"/>
      <c r="B4" s="1622" t="s">
        <v>974</v>
      </c>
      <c r="C4" s="8"/>
      <c r="D4" s="1642" t="s">
        <v>877</v>
      </c>
      <c r="E4" s="1643"/>
      <c r="F4" s="1643"/>
      <c r="G4" s="1643"/>
      <c r="H4" s="1643"/>
      <c r="I4" s="1643"/>
      <c r="J4" s="1643"/>
      <c r="K4" s="1643"/>
      <c r="L4" s="1643"/>
      <c r="M4" s="1643"/>
      <c r="N4" s="1643"/>
      <c r="O4" s="1644"/>
      <c r="P4" s="8"/>
      <c r="Q4" s="902" t="s">
        <v>190</v>
      </c>
      <c r="R4" s="903"/>
      <c r="S4" s="902"/>
      <c r="T4" s="902"/>
      <c r="U4" s="902"/>
      <c r="V4" s="8"/>
      <c r="W4" s="904" t="str">
        <f>HYPERLINK("https://www.energystar.gov/sites/default/files/buildings/tools/DataTrends_Water_20121002.pdf","Source: EPA Energy Start Data Trends")</f>
        <v>Source: EPA Energy Start Data Trends</v>
      </c>
      <c r="X4" s="904"/>
      <c r="Y4" s="904"/>
      <c r="Z4" s="904"/>
      <c r="AA4" s="904"/>
      <c r="AB4" s="889"/>
      <c r="AC4" s="889"/>
      <c r="AD4" s="890"/>
      <c r="AE4" s="890"/>
      <c r="AF4" s="890"/>
      <c r="AG4" s="890"/>
      <c r="AH4" s="890"/>
      <c r="AI4" s="275"/>
      <c r="AJ4" s="275"/>
      <c r="AK4" s="275"/>
      <c r="AL4" s="275"/>
      <c r="AM4" s="275"/>
      <c r="AN4" s="275"/>
      <c r="AO4" s="275"/>
      <c r="AP4" s="8"/>
    </row>
    <row r="5" spans="1:42" ht="14.4" customHeight="1" x14ac:dyDescent="0.35">
      <c r="A5" s="8"/>
      <c r="B5" s="1622"/>
      <c r="C5" s="8"/>
      <c r="D5" s="905"/>
      <c r="E5" s="906"/>
      <c r="F5" s="906"/>
      <c r="G5" s="906"/>
      <c r="H5" s="906"/>
      <c r="I5" s="906"/>
      <c r="J5" s="906"/>
      <c r="K5" s="906"/>
      <c r="L5" s="906"/>
      <c r="M5" s="906"/>
      <c r="N5" s="906"/>
      <c r="O5" s="823"/>
      <c r="P5" s="8"/>
      <c r="Q5" s="902"/>
      <c r="R5" s="903"/>
      <c r="S5" s="902"/>
      <c r="T5" s="902"/>
      <c r="U5" s="902"/>
      <c r="V5" s="8"/>
      <c r="W5" s="904" t="str">
        <f>HYPERLINK("https://www.eia.gov/consumption/commercial/reports/2012/water/pdf/users%20guide%20to%202012%20water%20public%20use.pdf","Source: CBECS Table W1. Water consumption 2012")</f>
        <v>Source: CBECS Table W1. Water consumption 2012</v>
      </c>
      <c r="X5" s="904"/>
      <c r="Y5" s="904"/>
      <c r="Z5" s="904"/>
      <c r="AA5" s="904"/>
      <c r="AI5" s="275"/>
      <c r="AJ5" s="275"/>
      <c r="AK5" s="275"/>
      <c r="AL5" s="275"/>
      <c r="AM5" s="275"/>
      <c r="AN5" s="275"/>
      <c r="AO5" s="275"/>
      <c r="AP5" s="8"/>
    </row>
    <row r="6" spans="1:42" ht="14.4" customHeight="1" x14ac:dyDescent="0.35">
      <c r="A6" s="8"/>
      <c r="B6" s="1622"/>
      <c r="C6" s="8"/>
      <c r="D6" s="907"/>
      <c r="E6" s="11"/>
      <c r="F6" s="809" t="s">
        <v>13</v>
      </c>
      <c r="G6" s="908">
        <f ca="1">Water_Use_Total_Benchmark</f>
        <v>0</v>
      </c>
      <c r="H6" s="517" t="s">
        <v>14</v>
      </c>
      <c r="I6" s="583"/>
      <c r="J6" s="906"/>
      <c r="K6" s="809" t="s">
        <v>196</v>
      </c>
      <c r="L6" s="810">
        <f>Occupancy_Daily_Avg</f>
        <v>0</v>
      </c>
      <c r="M6" s="11"/>
      <c r="N6" s="11"/>
      <c r="O6" s="813"/>
      <c r="P6" s="8"/>
      <c r="Q6" s="909" t="s">
        <v>192</v>
      </c>
      <c r="R6" s="910" t="s">
        <v>193</v>
      </c>
      <c r="S6" s="910" t="s">
        <v>194</v>
      </c>
      <c r="T6" s="902"/>
      <c r="U6" s="902"/>
      <c r="V6" s="8"/>
      <c r="W6" s="904" t="str">
        <f>HYPERLINK("http://www.savetexaswater.org/resources/doc/Hoffman_Analysis_Muni_2016.pdf","Source: Savetexaswater.org Analysis")</f>
        <v>Source: Savetexaswater.org Analysis</v>
      </c>
      <c r="X6" s="904"/>
      <c r="Y6" s="904"/>
      <c r="Z6" s="904"/>
      <c r="AA6" s="904"/>
      <c r="AM6" s="275"/>
      <c r="AN6" s="275"/>
      <c r="AO6" s="275"/>
      <c r="AP6" s="8"/>
    </row>
    <row r="7" spans="1:42" ht="14.4" customHeight="1" x14ac:dyDescent="0.35">
      <c r="A7" s="8"/>
      <c r="B7" s="1622"/>
      <c r="C7" s="8"/>
      <c r="D7" s="911"/>
      <c r="E7" s="11"/>
      <c r="F7" s="818" t="s">
        <v>191</v>
      </c>
      <c r="G7" s="912">
        <f ca="1">Water_Use_Intensity_Benchmark</f>
        <v>0</v>
      </c>
      <c r="H7" s="528" t="s">
        <v>16</v>
      </c>
      <c r="I7" s="913"/>
      <c r="J7" s="914"/>
      <c r="K7" s="818" t="s">
        <v>198</v>
      </c>
      <c r="L7" s="819">
        <f>Annual_Days_of_Operation</f>
        <v>0</v>
      </c>
      <c r="M7" s="913"/>
      <c r="N7" s="913"/>
      <c r="O7" s="915"/>
      <c r="P7" s="8"/>
      <c r="Q7" s="916" t="s">
        <v>195</v>
      </c>
      <c r="R7" s="917">
        <v>10.95</v>
      </c>
      <c r="S7" s="917">
        <v>18.25</v>
      </c>
      <c r="T7" s="902"/>
      <c r="U7" s="902"/>
      <c r="V7" s="8"/>
      <c r="W7" s="904" t="str">
        <f>HYPERLINK("https://www.epa.gov/watersense/how-we-use-water","Sources: EPA WaterSense - Residential Water Use ")</f>
        <v xml:space="preserve">Sources: EPA WaterSense - Residential Water Use </v>
      </c>
      <c r="X7" s="904"/>
      <c r="Y7" s="904"/>
      <c r="Z7" s="904"/>
      <c r="AA7" s="904"/>
      <c r="AM7" s="275"/>
      <c r="AN7" s="275"/>
      <c r="AO7" s="275"/>
      <c r="AP7" s="8"/>
    </row>
    <row r="8" spans="1:42" ht="14.4" customHeight="1" x14ac:dyDescent="0.35">
      <c r="A8" s="8"/>
      <c r="B8" s="1622"/>
      <c r="C8" s="8"/>
      <c r="D8" s="918"/>
      <c r="E8" s="914"/>
      <c r="F8" s="914"/>
      <c r="G8" s="919"/>
      <c r="H8" s="914"/>
      <c r="I8" s="914"/>
      <c r="J8" s="914"/>
      <c r="K8" s="914"/>
      <c r="L8" s="914"/>
      <c r="M8" s="914"/>
      <c r="N8" s="914"/>
      <c r="O8" s="920"/>
      <c r="P8" s="8"/>
      <c r="Q8" s="916" t="s">
        <v>197</v>
      </c>
      <c r="R8" s="917">
        <v>8.8500000000000014</v>
      </c>
      <c r="S8" s="917">
        <v>14.75</v>
      </c>
      <c r="T8" s="902"/>
      <c r="U8" s="902"/>
      <c r="V8" s="8"/>
      <c r="W8" s="902"/>
      <c r="X8" s="902"/>
      <c r="Y8" s="902"/>
      <c r="Z8" s="902"/>
      <c r="AA8" s="902"/>
      <c r="AM8" s="275"/>
      <c r="AN8" s="275"/>
      <c r="AO8" s="275"/>
      <c r="AP8" s="8"/>
    </row>
    <row r="9" spans="1:42" ht="14.4" customHeight="1" x14ac:dyDescent="0.35">
      <c r="A9" s="8"/>
      <c r="B9" s="1622"/>
      <c r="C9" s="275"/>
      <c r="D9" s="47"/>
      <c r="E9" s="47"/>
      <c r="F9" s="47"/>
      <c r="G9" s="47"/>
      <c r="H9" s="47"/>
      <c r="I9" s="47"/>
      <c r="J9" s="47"/>
      <c r="K9" s="47"/>
      <c r="L9" s="47"/>
      <c r="M9" s="47"/>
      <c r="N9" s="47"/>
      <c r="O9" s="47"/>
      <c r="P9" s="275"/>
      <c r="Q9" s="916" t="s">
        <v>199</v>
      </c>
      <c r="R9" s="917">
        <v>17.774999999999999</v>
      </c>
      <c r="S9" s="917">
        <v>29.625</v>
      </c>
      <c r="T9" s="902"/>
      <c r="U9" s="902"/>
      <c r="V9" s="8"/>
      <c r="W9" s="902"/>
      <c r="X9" s="902"/>
      <c r="Y9" s="902"/>
      <c r="Z9" s="902"/>
      <c r="AA9" s="902"/>
      <c r="AM9" s="275"/>
      <c r="AN9" s="275"/>
      <c r="AO9" s="275"/>
      <c r="AP9" s="8"/>
    </row>
    <row r="10" spans="1:42" ht="14.4" customHeight="1" x14ac:dyDescent="0.35">
      <c r="A10" s="8"/>
      <c r="B10" s="1622"/>
      <c r="C10" s="8"/>
      <c r="D10" s="1636" t="s">
        <v>896</v>
      </c>
      <c r="E10" s="1637"/>
      <c r="F10" s="1637"/>
      <c r="G10" s="1637"/>
      <c r="H10" s="1637"/>
      <c r="I10" s="1637"/>
      <c r="J10" s="1637"/>
      <c r="K10" s="1637"/>
      <c r="L10" s="1637"/>
      <c r="M10" s="1637"/>
      <c r="N10" s="1637"/>
      <c r="O10" s="1638"/>
      <c r="P10" s="8"/>
      <c r="Q10" s="916" t="s">
        <v>200</v>
      </c>
      <c r="R10" s="917">
        <v>37.200000000000003</v>
      </c>
      <c r="S10" s="917">
        <v>62</v>
      </c>
      <c r="T10" s="902"/>
      <c r="U10" s="902"/>
      <c r="V10" s="8"/>
      <c r="W10" s="902" t="s">
        <v>201</v>
      </c>
      <c r="X10" s="902"/>
      <c r="Y10" s="902"/>
      <c r="Z10" s="902"/>
      <c r="AA10" s="902"/>
      <c r="AM10" s="275"/>
      <c r="AN10" s="275"/>
      <c r="AO10" s="275"/>
      <c r="AP10" s="8"/>
    </row>
    <row r="11" spans="1:42" ht="14.4" customHeight="1" x14ac:dyDescent="0.35">
      <c r="A11" s="8"/>
      <c r="B11" s="1622"/>
      <c r="C11" s="8"/>
      <c r="D11" s="921"/>
      <c r="E11" s="922"/>
      <c r="F11" s="922"/>
      <c r="G11" s="922"/>
      <c r="H11" s="922"/>
      <c r="I11" s="922"/>
      <c r="J11" s="922"/>
      <c r="K11" s="922"/>
      <c r="L11" s="922"/>
      <c r="M11" s="923"/>
      <c r="N11" s="923"/>
      <c r="O11" s="924"/>
      <c r="P11" s="8"/>
      <c r="Q11" s="916" t="s">
        <v>202</v>
      </c>
      <c r="R11" s="917">
        <v>31.275000000000002</v>
      </c>
      <c r="S11" s="917">
        <v>52.125</v>
      </c>
      <c r="T11" s="902"/>
      <c r="U11" s="902"/>
      <c r="V11" s="8"/>
      <c r="W11" s="904" t="str">
        <f>HYPERLINK("https://www.epa.gov/watersense/watersense-products","EPA WaterSense")</f>
        <v>EPA WaterSense</v>
      </c>
      <c r="X11" s="902"/>
      <c r="Y11" s="902"/>
      <c r="Z11" s="902"/>
      <c r="AA11" s="902"/>
      <c r="AM11" s="275"/>
      <c r="AN11" s="275"/>
      <c r="AO11" s="275"/>
      <c r="AP11" s="8"/>
    </row>
    <row r="12" spans="1:42" ht="14.4" customHeight="1" x14ac:dyDescent="0.35">
      <c r="A12" s="8"/>
      <c r="B12" s="1622"/>
      <c r="C12" s="8"/>
      <c r="D12" s="911"/>
      <c r="E12" s="11"/>
      <c r="F12" s="925"/>
      <c r="G12" s="925"/>
      <c r="H12" s="925"/>
      <c r="I12" s="925"/>
      <c r="J12" s="925"/>
      <c r="K12" s="926" t="s">
        <v>708</v>
      </c>
      <c r="L12" s="926"/>
      <c r="M12" s="812"/>
      <c r="N12" s="812"/>
      <c r="O12" s="817"/>
      <c r="P12" s="8"/>
      <c r="Q12" s="916" t="s">
        <v>203</v>
      </c>
      <c r="R12" s="917">
        <v>9.4499999999999993</v>
      </c>
      <c r="S12" s="917">
        <v>15.75</v>
      </c>
      <c r="T12" s="902"/>
      <c r="U12" s="902"/>
      <c r="V12" s="8"/>
      <c r="W12" s="927"/>
      <c r="X12" s="1690" t="s">
        <v>204</v>
      </c>
      <c r="Y12" s="1690"/>
      <c r="Z12" s="1690" t="s">
        <v>205</v>
      </c>
      <c r="AA12" s="1690"/>
      <c r="AM12" s="275"/>
      <c r="AN12" s="275"/>
      <c r="AO12" s="275"/>
      <c r="AP12" s="8"/>
    </row>
    <row r="13" spans="1:42" ht="14.4" customHeight="1" x14ac:dyDescent="0.35">
      <c r="A13" s="8"/>
      <c r="B13" s="1622"/>
      <c r="C13" s="8"/>
      <c r="D13" s="929"/>
      <c r="E13" s="11"/>
      <c r="F13" s="812"/>
      <c r="G13" s="814" t="s">
        <v>707</v>
      </c>
      <c r="H13" s="930"/>
      <c r="I13" s="1683" t="s">
        <v>704</v>
      </c>
      <c r="J13" s="1683"/>
      <c r="K13" s="814" t="s">
        <v>709</v>
      </c>
      <c r="L13" s="814" t="s">
        <v>710</v>
      </c>
      <c r="M13" s="11"/>
      <c r="N13" s="11"/>
      <c r="O13" s="817"/>
      <c r="P13" s="8"/>
      <c r="Q13" s="916" t="s">
        <v>206</v>
      </c>
      <c r="R13" s="917">
        <v>31.5</v>
      </c>
      <c r="S13" s="917">
        <v>52.5</v>
      </c>
      <c r="T13" s="902"/>
      <c r="U13" s="902"/>
      <c r="V13" s="8"/>
      <c r="W13" s="931"/>
      <c r="X13" s="932" t="s">
        <v>194</v>
      </c>
      <c r="Y13" s="932" t="s">
        <v>193</v>
      </c>
      <c r="Z13" s="932" t="s">
        <v>194</v>
      </c>
      <c r="AA13" s="932" t="s">
        <v>193</v>
      </c>
      <c r="AM13" s="275"/>
      <c r="AN13" s="275"/>
      <c r="AO13" s="275"/>
      <c r="AP13" s="8"/>
    </row>
    <row r="14" spans="1:42" ht="14.4" customHeight="1" x14ac:dyDescent="0.35">
      <c r="A14" s="8"/>
      <c r="B14" s="1622"/>
      <c r="C14" s="8"/>
      <c r="D14" s="933"/>
      <c r="E14" s="11"/>
      <c r="F14" s="344" t="s">
        <v>208</v>
      </c>
      <c r="G14" s="450"/>
      <c r="H14" s="934" t="s">
        <v>701</v>
      </c>
      <c r="I14" s="1680">
        <f>Water_Uses_per_Occupant_Day_Toilet</f>
        <v>0</v>
      </c>
      <c r="J14" s="1680"/>
      <c r="K14" s="309">
        <f>$I:$I*$G:$G*Occupancy_Daily_Avg</f>
        <v>0</v>
      </c>
      <c r="L14" s="309">
        <f>$K:$K*Annual_Days_of_Operation</f>
        <v>0</v>
      </c>
      <c r="M14" s="11"/>
      <c r="N14" s="11"/>
      <c r="O14" s="817"/>
      <c r="P14" s="8"/>
      <c r="Q14" s="916" t="s">
        <v>207</v>
      </c>
      <c r="R14" s="917">
        <v>10.95</v>
      </c>
      <c r="S14" s="917">
        <v>18.25</v>
      </c>
      <c r="T14" s="902"/>
      <c r="U14" s="902"/>
      <c r="V14" s="8"/>
      <c r="W14" s="927" t="s">
        <v>208</v>
      </c>
      <c r="X14" s="928">
        <v>1.6</v>
      </c>
      <c r="Y14" s="928">
        <v>1.1000000000000001</v>
      </c>
      <c r="Z14" s="928">
        <v>1.6</v>
      </c>
      <c r="AA14" s="928">
        <v>1.1000000000000001</v>
      </c>
      <c r="AM14" s="275"/>
      <c r="AN14" s="275"/>
      <c r="AO14" s="275"/>
      <c r="AP14" s="8"/>
    </row>
    <row r="15" spans="1:42" ht="14.4" customHeight="1" x14ac:dyDescent="0.35">
      <c r="A15" s="8"/>
      <c r="B15" s="1622"/>
      <c r="C15" s="8"/>
      <c r="D15" s="929"/>
      <c r="E15" s="11"/>
      <c r="F15" s="344" t="s">
        <v>211</v>
      </c>
      <c r="G15" s="451"/>
      <c r="H15" s="934" t="s">
        <v>701</v>
      </c>
      <c r="I15" s="1681">
        <f>Water_Uses_per_Occupant_Day_Urinal</f>
        <v>0</v>
      </c>
      <c r="J15" s="1681"/>
      <c r="K15" s="309">
        <f>$I:$I*$G:$G*Occupancy_Daily_Avg</f>
        <v>0</v>
      </c>
      <c r="L15" s="309">
        <f>$K:$K*Annual_Days_of_Operation</f>
        <v>0</v>
      </c>
      <c r="M15" s="11"/>
      <c r="N15" s="11"/>
      <c r="O15" s="817"/>
      <c r="P15" s="8"/>
      <c r="Q15" s="916" t="s">
        <v>209</v>
      </c>
      <c r="R15" s="917">
        <v>11.7</v>
      </c>
      <c r="S15" s="917">
        <v>19.5</v>
      </c>
      <c r="T15" s="902"/>
      <c r="U15" s="902"/>
      <c r="V15" s="8"/>
      <c r="W15" s="927" t="s">
        <v>210</v>
      </c>
      <c r="X15" s="928">
        <v>1.5</v>
      </c>
      <c r="Y15" s="928">
        <v>1</v>
      </c>
      <c r="Z15" s="928">
        <v>0.5</v>
      </c>
      <c r="AA15" s="928">
        <v>0.5</v>
      </c>
      <c r="AM15" s="275"/>
      <c r="AN15" s="275"/>
      <c r="AO15" s="275"/>
      <c r="AP15" s="8"/>
    </row>
    <row r="16" spans="1:42" ht="14.4" customHeight="1" x14ac:dyDescent="0.35">
      <c r="A16" s="8"/>
      <c r="B16" s="1622"/>
      <c r="C16" s="8"/>
      <c r="D16" s="935"/>
      <c r="E16" s="11"/>
      <c r="F16" s="344" t="s">
        <v>213</v>
      </c>
      <c r="G16" s="451"/>
      <c r="H16" s="934" t="s">
        <v>702</v>
      </c>
      <c r="I16" s="1681">
        <f>Water_Minutes_per_Occupant_Day_Shower</f>
        <v>0</v>
      </c>
      <c r="J16" s="1681"/>
      <c r="K16" s="309">
        <f>$I:$I*$G:$G*Occupancy_Daily_Avg</f>
        <v>0</v>
      </c>
      <c r="L16" s="309">
        <f>$K:$K*Annual_Days_of_Operation</f>
        <v>0</v>
      </c>
      <c r="M16" s="11"/>
      <c r="N16" s="11"/>
      <c r="O16" s="936"/>
      <c r="P16" s="8"/>
      <c r="Q16" s="916" t="s">
        <v>212</v>
      </c>
      <c r="R16" s="917">
        <v>19.274999999999999</v>
      </c>
      <c r="S16" s="917">
        <v>32.125</v>
      </c>
      <c r="T16" s="902"/>
      <c r="U16" s="902"/>
      <c r="V16" s="8"/>
      <c r="W16" s="927" t="s">
        <v>213</v>
      </c>
      <c r="X16" s="928">
        <v>2.5</v>
      </c>
      <c r="Y16" s="928">
        <v>2</v>
      </c>
      <c r="Z16" s="928">
        <v>2</v>
      </c>
      <c r="AA16" s="928">
        <v>1.5</v>
      </c>
      <c r="AM16" s="275"/>
      <c r="AN16" s="275"/>
      <c r="AO16" s="275"/>
      <c r="AP16" s="8"/>
    </row>
    <row r="17" spans="1:42" ht="14.4" customHeight="1" x14ac:dyDescent="0.35">
      <c r="A17" s="8"/>
      <c r="B17" s="1622"/>
      <c r="C17" s="8"/>
      <c r="D17" s="907"/>
      <c r="E17" s="11"/>
      <c r="F17" s="344" t="s">
        <v>217</v>
      </c>
      <c r="G17" s="451"/>
      <c r="H17" s="934" t="s">
        <v>702</v>
      </c>
      <c r="I17" s="1681">
        <f>Water_Minutes_per_Occupant_Day_Lavatory</f>
        <v>0</v>
      </c>
      <c r="J17" s="1681"/>
      <c r="K17" s="309">
        <f>$I:$I*$G:$G*Occupancy_Daily_Avg</f>
        <v>0</v>
      </c>
      <c r="L17" s="309">
        <f>$K:$K*Annual_Days_of_Operation</f>
        <v>0</v>
      </c>
      <c r="M17" s="11"/>
      <c r="N17" s="11"/>
      <c r="O17" s="936"/>
      <c r="P17" s="8"/>
      <c r="Q17" s="916" t="s">
        <v>214</v>
      </c>
      <c r="R17" s="917">
        <v>31.575000000000003</v>
      </c>
      <c r="S17" s="917">
        <v>52.625</v>
      </c>
      <c r="T17" s="902"/>
      <c r="U17" s="902"/>
      <c r="V17" s="8"/>
      <c r="W17" s="927" t="s">
        <v>215</v>
      </c>
      <c r="X17" s="928" t="s">
        <v>216</v>
      </c>
      <c r="Y17" s="928" t="s">
        <v>216</v>
      </c>
      <c r="Z17" s="928">
        <v>1</v>
      </c>
      <c r="AA17" s="928">
        <v>0.2</v>
      </c>
      <c r="AM17" s="275"/>
      <c r="AN17" s="275"/>
      <c r="AO17" s="275"/>
      <c r="AP17" s="8"/>
    </row>
    <row r="18" spans="1:42" ht="14.4" customHeight="1" x14ac:dyDescent="0.35">
      <c r="A18" s="8"/>
      <c r="B18" s="1622"/>
      <c r="C18" s="8"/>
      <c r="D18" s="907"/>
      <c r="E18" s="11"/>
      <c r="F18" s="344" t="s">
        <v>220</v>
      </c>
      <c r="G18" s="451"/>
      <c r="H18" s="937" t="s">
        <v>702</v>
      </c>
      <c r="I18" s="1682">
        <f>Water_Minutes_per_Occupant_Day_Kitchen_Faucet</f>
        <v>0</v>
      </c>
      <c r="J18" s="1682"/>
      <c r="K18" s="310">
        <f>$I:$I*$G:$G*Occupancy_Daily_Avg</f>
        <v>0</v>
      </c>
      <c r="L18" s="310">
        <f>$K:$K*Annual_Days_of_Operation</f>
        <v>0</v>
      </c>
      <c r="M18" s="812"/>
      <c r="N18" s="812"/>
      <c r="O18" s="936"/>
      <c r="P18" s="8"/>
      <c r="Q18" s="916" t="s">
        <v>218</v>
      </c>
      <c r="R18" s="917">
        <v>5.4749999999999996</v>
      </c>
      <c r="S18" s="917">
        <v>9.125</v>
      </c>
      <c r="T18" s="902"/>
      <c r="U18" s="902"/>
      <c r="V18" s="8"/>
      <c r="W18" s="927" t="s">
        <v>219</v>
      </c>
      <c r="X18" s="928">
        <v>2.2000000000000002</v>
      </c>
      <c r="Y18" s="928">
        <v>1.8</v>
      </c>
      <c r="Z18" s="928">
        <v>2.2000000000000002</v>
      </c>
      <c r="AA18" s="928">
        <v>1.28</v>
      </c>
      <c r="AM18" s="275"/>
      <c r="AN18" s="275"/>
      <c r="AO18" s="275"/>
      <c r="AP18" s="8"/>
    </row>
    <row r="19" spans="1:42" ht="14.4" customHeight="1" thickBot="1" x14ac:dyDescent="0.4">
      <c r="A19" s="8"/>
      <c r="B19" s="1622"/>
      <c r="C19" s="8"/>
      <c r="D19" s="907"/>
      <c r="E19" s="11"/>
      <c r="F19" s="938"/>
      <c r="G19" s="925"/>
      <c r="H19" s="925"/>
      <c r="I19" s="939"/>
      <c r="J19" s="939"/>
      <c r="K19" s="925"/>
      <c r="L19" s="925"/>
      <c r="M19" s="812"/>
      <c r="N19" s="812"/>
      <c r="O19" s="936"/>
      <c r="P19" s="8"/>
      <c r="Q19" s="916" t="s">
        <v>221</v>
      </c>
      <c r="R19" s="917">
        <v>161.25</v>
      </c>
      <c r="S19" s="917">
        <v>268.75</v>
      </c>
      <c r="T19" s="902"/>
      <c r="U19" s="902"/>
      <c r="V19" s="8"/>
      <c r="W19" s="902"/>
      <c r="X19" s="902"/>
      <c r="Y19" s="902"/>
      <c r="Z19" s="902"/>
      <c r="AA19" s="902"/>
      <c r="AM19" s="275"/>
      <c r="AN19" s="275"/>
      <c r="AO19" s="275"/>
      <c r="AP19" s="8"/>
    </row>
    <row r="20" spans="1:42" ht="14.4" customHeight="1" thickBot="1" x14ac:dyDescent="0.4">
      <c r="A20" s="8"/>
      <c r="B20" s="1622"/>
      <c r="C20" s="8"/>
      <c r="D20" s="907"/>
      <c r="E20" s="11"/>
      <c r="F20" s="925"/>
      <c r="G20" s="11"/>
      <c r="H20" s="940"/>
      <c r="I20" s="940"/>
      <c r="J20" s="816" t="s">
        <v>703</v>
      </c>
      <c r="K20" s="941">
        <f>SUM(K14:K18)</f>
        <v>0</v>
      </c>
      <c r="L20" s="941">
        <f>SUM(L14:L18)</f>
        <v>0</v>
      </c>
      <c r="M20" s="942"/>
      <c r="N20" s="942"/>
      <c r="O20" s="943"/>
      <c r="P20" s="8"/>
      <c r="Q20" s="916" t="s">
        <v>222</v>
      </c>
      <c r="R20" s="917">
        <v>6</v>
      </c>
      <c r="S20" s="917">
        <v>10</v>
      </c>
      <c r="T20" s="902"/>
      <c r="U20" s="902"/>
      <c r="V20" s="8"/>
      <c r="W20" s="1686" t="s">
        <v>223</v>
      </c>
      <c r="X20" s="1686"/>
      <c r="Y20" s="1686"/>
      <c r="Z20" s="1686"/>
      <c r="AA20" s="1686"/>
      <c r="AM20" s="275"/>
      <c r="AN20" s="275"/>
      <c r="AO20" s="275"/>
      <c r="AP20" s="8"/>
    </row>
    <row r="21" spans="1:42" ht="14.4" customHeight="1" x14ac:dyDescent="0.35">
      <c r="A21" s="8"/>
      <c r="B21" s="1622"/>
      <c r="C21" s="8"/>
      <c r="D21" s="907"/>
      <c r="E21" s="11"/>
      <c r="F21" s="11"/>
      <c r="G21" s="11"/>
      <c r="H21" s="11"/>
      <c r="I21" s="11"/>
      <c r="J21" s="11"/>
      <c r="K21" s="11"/>
      <c r="L21" s="11"/>
      <c r="M21" s="11"/>
      <c r="N21" s="11"/>
      <c r="O21" s="813"/>
      <c r="P21" s="8"/>
      <c r="Q21" s="916" t="s">
        <v>224</v>
      </c>
      <c r="R21" s="917">
        <v>45.150000000000006</v>
      </c>
      <c r="S21" s="917">
        <v>75.25</v>
      </c>
      <c r="T21" s="902"/>
      <c r="U21" s="902"/>
      <c r="V21" s="8"/>
      <c r="W21" s="1686"/>
      <c r="X21" s="1686"/>
      <c r="Y21" s="1686"/>
      <c r="Z21" s="1686"/>
      <c r="AA21" s="1686"/>
      <c r="AM21" s="275"/>
      <c r="AN21" s="275"/>
      <c r="AO21" s="275"/>
      <c r="AP21" s="8"/>
    </row>
    <row r="22" spans="1:42" ht="14.4" customHeight="1" x14ac:dyDescent="0.35">
      <c r="A22" s="8"/>
      <c r="B22" s="1622"/>
      <c r="C22" s="8"/>
      <c r="D22" s="907"/>
      <c r="E22" s="11"/>
      <c r="F22" s="1684" t="s">
        <v>894</v>
      </c>
      <c r="G22" s="1684"/>
      <c r="H22" s="1684"/>
      <c r="I22" s="1684"/>
      <c r="J22" s="1684"/>
      <c r="K22" s="11"/>
      <c r="L22" s="11"/>
      <c r="M22" s="11"/>
      <c r="N22" s="11"/>
      <c r="O22" s="813"/>
      <c r="P22" s="8"/>
      <c r="Q22" s="916" t="s">
        <v>225</v>
      </c>
      <c r="R22" s="917">
        <v>2.5499999999999998</v>
      </c>
      <c r="S22" s="917">
        <v>4.25</v>
      </c>
      <c r="T22" s="902"/>
      <c r="U22" s="902"/>
      <c r="W22" s="944"/>
      <c r="X22" s="944"/>
      <c r="Y22" s="944"/>
      <c r="Z22" s="944"/>
      <c r="AA22" s="944"/>
      <c r="AM22" s="275"/>
      <c r="AN22" s="275"/>
      <c r="AO22" s="275"/>
      <c r="AP22" s="8"/>
    </row>
    <row r="23" spans="1:42" ht="14.4" customHeight="1" x14ac:dyDescent="0.35">
      <c r="A23" s="8"/>
      <c r="B23" s="1622"/>
      <c r="C23" s="8"/>
      <c r="D23" s="907"/>
      <c r="E23" s="11"/>
      <c r="F23" s="1685" t="s">
        <v>895</v>
      </c>
      <c r="G23" s="1685"/>
      <c r="H23" s="11"/>
      <c r="I23" s="11"/>
      <c r="J23" s="11"/>
      <c r="K23" s="11"/>
      <c r="L23" s="11"/>
      <c r="M23" s="11"/>
      <c r="N23" s="11"/>
      <c r="O23" s="813"/>
      <c r="P23" s="8"/>
      <c r="Q23" s="916" t="s">
        <v>226</v>
      </c>
      <c r="R23" s="945" t="s">
        <v>227</v>
      </c>
      <c r="S23" s="927"/>
      <c r="T23" s="902"/>
      <c r="U23" s="902"/>
      <c r="V23" s="8"/>
      <c r="W23" s="902"/>
      <c r="X23" s="902"/>
      <c r="Y23" s="902"/>
      <c r="Z23" s="902"/>
      <c r="AA23" s="902"/>
      <c r="AM23" s="275"/>
      <c r="AN23" s="275"/>
      <c r="AO23" s="275"/>
      <c r="AP23" s="8"/>
    </row>
    <row r="24" spans="1:42" ht="14.4" customHeight="1" x14ac:dyDescent="0.35">
      <c r="A24" s="8"/>
      <c r="B24" s="1622"/>
      <c r="C24" s="8"/>
      <c r="D24" s="946"/>
      <c r="E24" s="947"/>
      <c r="F24" s="947"/>
      <c r="G24" s="947"/>
      <c r="H24" s="947"/>
      <c r="I24" s="947"/>
      <c r="J24" s="947"/>
      <c r="K24" s="947"/>
      <c r="L24" s="947"/>
      <c r="M24" s="947"/>
      <c r="N24" s="947"/>
      <c r="O24" s="841"/>
      <c r="P24" s="8"/>
      <c r="Q24" s="944"/>
      <c r="R24" s="944"/>
      <c r="S24" s="944"/>
      <c r="T24" s="944"/>
      <c r="U24" s="944"/>
      <c r="V24" s="8"/>
      <c r="W24" s="902"/>
      <c r="X24" s="902"/>
      <c r="Y24" s="902"/>
      <c r="Z24" s="902"/>
      <c r="AA24" s="902"/>
      <c r="AM24" s="275"/>
      <c r="AN24" s="275"/>
      <c r="AO24" s="275"/>
      <c r="AP24" s="8"/>
    </row>
    <row r="25" spans="1:42" ht="14.4" customHeight="1" x14ac:dyDescent="0.35">
      <c r="A25" s="8"/>
      <c r="B25" s="892"/>
      <c r="C25" s="8"/>
      <c r="D25" s="8"/>
      <c r="E25" s="8"/>
      <c r="F25" s="8"/>
      <c r="G25" s="8"/>
      <c r="H25" s="8"/>
      <c r="I25" s="8"/>
      <c r="J25" s="8"/>
      <c r="K25" s="8"/>
      <c r="L25" s="8"/>
      <c r="M25" s="8"/>
      <c r="N25" s="8"/>
      <c r="O25" s="8"/>
      <c r="P25" s="8"/>
      <c r="Q25" s="8"/>
      <c r="R25" s="64"/>
      <c r="S25" s="8"/>
      <c r="T25" s="8"/>
      <c r="U25" s="8"/>
      <c r="V25" s="8"/>
      <c r="W25" s="8"/>
      <c r="X25" s="8"/>
      <c r="Y25" s="8"/>
      <c r="Z25" s="8"/>
      <c r="AA25" s="8"/>
      <c r="AB25" s="8"/>
      <c r="AI25" s="275"/>
      <c r="AJ25" s="275"/>
      <c r="AK25" s="275"/>
      <c r="AL25" s="275"/>
      <c r="AM25" s="275"/>
      <c r="AN25" s="275"/>
      <c r="AO25" s="275"/>
      <c r="AP25" s="8"/>
    </row>
    <row r="26" spans="1:42" ht="14.4" customHeight="1" x14ac:dyDescent="0.35">
      <c r="A26" s="8"/>
      <c r="B26" s="1663" t="s">
        <v>972</v>
      </c>
      <c r="C26" s="8"/>
      <c r="D26" s="1636" t="s">
        <v>878</v>
      </c>
      <c r="E26" s="1637"/>
      <c r="F26" s="1637"/>
      <c r="G26" s="1637"/>
      <c r="H26" s="1637"/>
      <c r="I26" s="1637"/>
      <c r="J26" s="1637"/>
      <c r="K26" s="1637"/>
      <c r="L26" s="1637"/>
      <c r="M26" s="1637"/>
      <c r="N26" s="1637"/>
      <c r="O26" s="1638"/>
      <c r="P26" s="8"/>
      <c r="Q26" s="948"/>
      <c r="R26" s="154"/>
      <c r="S26" s="948"/>
      <c r="T26" s="948"/>
      <c r="U26" s="948"/>
      <c r="V26" s="8"/>
      <c r="W26" s="948"/>
      <c r="X26" s="948"/>
      <c r="Y26" s="948"/>
      <c r="Z26" s="948"/>
      <c r="AA26" s="948"/>
      <c r="AB26" s="8"/>
      <c r="AI26" s="275"/>
      <c r="AJ26" s="275"/>
      <c r="AK26" s="275"/>
      <c r="AL26" s="275"/>
      <c r="AM26" s="275"/>
      <c r="AN26" s="275"/>
      <c r="AO26" s="275"/>
      <c r="AP26" s="8"/>
    </row>
    <row r="27" spans="1:42" ht="14.4" customHeight="1" x14ac:dyDescent="0.35">
      <c r="A27" s="8"/>
      <c r="B27" s="1663"/>
      <c r="C27" s="8"/>
      <c r="D27" s="949"/>
      <c r="E27" s="922"/>
      <c r="F27" s="922"/>
      <c r="G27" s="922"/>
      <c r="H27" s="950"/>
      <c r="I27" s="950"/>
      <c r="J27" s="950"/>
      <c r="K27" s="950"/>
      <c r="L27" s="951"/>
      <c r="M27" s="951"/>
      <c r="N27" s="951"/>
      <c r="O27" s="952"/>
      <c r="P27" s="8"/>
      <c r="Q27" s="953"/>
      <c r="R27" s="1664" t="s">
        <v>720</v>
      </c>
      <c r="S27" s="1664"/>
      <c r="T27" s="1664"/>
      <c r="U27" s="902"/>
      <c r="V27" s="8"/>
      <c r="W27" s="948"/>
      <c r="X27" s="948"/>
      <c r="Y27" s="948"/>
      <c r="Z27" s="948"/>
      <c r="AA27" s="948"/>
      <c r="AB27" s="8"/>
      <c r="AI27" s="275"/>
      <c r="AJ27" s="275"/>
      <c r="AK27" s="275"/>
      <c r="AL27" s="275"/>
      <c r="AM27" s="275"/>
      <c r="AN27" s="275"/>
      <c r="AO27" s="275"/>
      <c r="AP27" s="8"/>
    </row>
    <row r="28" spans="1:42" ht="14.4" customHeight="1" x14ac:dyDescent="0.35">
      <c r="A28" s="8"/>
      <c r="B28" s="1663"/>
      <c r="C28" s="8"/>
      <c r="D28" s="954"/>
      <c r="E28" s="938"/>
      <c r="F28" s="925"/>
      <c r="G28" s="955" t="s">
        <v>732</v>
      </c>
      <c r="H28" s="5"/>
      <c r="I28" s="849" t="s">
        <v>687</v>
      </c>
      <c r="J28" s="956"/>
      <c r="K28" s="956"/>
      <c r="L28" s="956"/>
      <c r="M28" s="956"/>
      <c r="N28" s="956"/>
      <c r="O28" s="957"/>
      <c r="P28" s="8"/>
      <c r="Q28" s="958" t="s">
        <v>746</v>
      </c>
      <c r="R28" s="959" t="s">
        <v>193</v>
      </c>
      <c r="S28" s="959" t="s">
        <v>719</v>
      </c>
      <c r="T28" s="959" t="s">
        <v>194</v>
      </c>
      <c r="U28" s="959"/>
      <c r="V28" s="8"/>
      <c r="W28" s="960" t="s">
        <v>729</v>
      </c>
      <c r="X28" s="944"/>
      <c r="Y28" s="944"/>
      <c r="Z28" s="944"/>
      <c r="AA28" s="944"/>
      <c r="AI28" s="275"/>
      <c r="AJ28" s="275"/>
      <c r="AK28" s="275"/>
      <c r="AL28" s="275"/>
      <c r="AM28" s="275"/>
      <c r="AN28" s="275"/>
      <c r="AO28" s="275"/>
      <c r="AP28" s="8"/>
    </row>
    <row r="29" spans="1:42" ht="14.4" customHeight="1" x14ac:dyDescent="0.35">
      <c r="A29" s="8"/>
      <c r="B29" s="1663"/>
      <c r="C29" s="8"/>
      <c r="D29" s="961"/>
      <c r="E29" s="962"/>
      <c r="F29" s="925"/>
      <c r="G29" s="963"/>
      <c r="H29" s="962"/>
      <c r="I29" s="962"/>
      <c r="J29" s="962"/>
      <c r="K29" s="956"/>
      <c r="L29" s="956"/>
      <c r="M29" s="956"/>
      <c r="N29" s="956"/>
      <c r="O29" s="957"/>
      <c r="P29" s="8"/>
      <c r="Q29" s="945" t="s">
        <v>717</v>
      </c>
      <c r="R29" s="928">
        <v>0.2</v>
      </c>
      <c r="S29" s="928">
        <v>0.5</v>
      </c>
      <c r="T29" s="928">
        <v>0.7</v>
      </c>
      <c r="U29" s="928"/>
      <c r="V29" s="8"/>
      <c r="W29" s="1691" t="s">
        <v>730</v>
      </c>
      <c r="X29" s="1691"/>
      <c r="Y29" s="1691"/>
      <c r="Z29" s="1691"/>
      <c r="AA29" s="1691"/>
      <c r="AL29" s="275"/>
      <c r="AM29" s="275"/>
      <c r="AN29" s="275"/>
      <c r="AO29" s="275"/>
      <c r="AP29" s="8"/>
    </row>
    <row r="30" spans="1:42" ht="14.4" customHeight="1" x14ac:dyDescent="0.35">
      <c r="A30" s="8"/>
      <c r="B30" s="1663"/>
      <c r="C30" s="8"/>
      <c r="D30" s="907"/>
      <c r="E30" s="11"/>
      <c r="F30" s="925"/>
      <c r="G30" s="955" t="s">
        <v>734</v>
      </c>
      <c r="H30" s="9"/>
      <c r="I30" s="934" t="s">
        <v>22</v>
      </c>
      <c r="J30" s="1692" t="s">
        <v>1236</v>
      </c>
      <c r="K30" s="1692"/>
      <c r="L30" s="1692"/>
      <c r="M30" s="1692"/>
      <c r="N30" s="1692"/>
      <c r="O30" s="964"/>
      <c r="P30" s="8"/>
      <c r="Q30" s="945" t="s">
        <v>718</v>
      </c>
      <c r="R30" s="928">
        <v>0.8</v>
      </c>
      <c r="S30" s="928">
        <v>0.8</v>
      </c>
      <c r="T30" s="928">
        <v>0.8</v>
      </c>
      <c r="U30" s="928"/>
      <c r="V30" s="8"/>
      <c r="W30" s="902"/>
      <c r="X30" s="902"/>
      <c r="Y30" s="902"/>
      <c r="Z30" s="902"/>
      <c r="AA30" s="902"/>
      <c r="AL30" s="275"/>
      <c r="AM30" s="275"/>
      <c r="AN30" s="275"/>
      <c r="AO30" s="275"/>
      <c r="AP30" s="8"/>
    </row>
    <row r="31" spans="1:42" ht="14.4" customHeight="1" x14ac:dyDescent="0.35">
      <c r="A31" s="8"/>
      <c r="B31" s="1663"/>
      <c r="C31" s="8"/>
      <c r="D31" s="907"/>
      <c r="E31" s="11"/>
      <c r="F31" s="925"/>
      <c r="G31" s="955" t="s">
        <v>712</v>
      </c>
      <c r="H31" s="5"/>
      <c r="I31" s="849" t="s">
        <v>687</v>
      </c>
      <c r="J31" s="1687" t="s">
        <v>715</v>
      </c>
      <c r="K31" s="1687"/>
      <c r="L31" s="1687"/>
      <c r="M31" s="369"/>
      <c r="N31" s="369"/>
      <c r="O31" s="965"/>
      <c r="P31" s="8"/>
      <c r="Q31" s="945" t="s">
        <v>233</v>
      </c>
      <c r="R31" s="928">
        <v>0.2</v>
      </c>
      <c r="S31" s="928">
        <v>0.5</v>
      </c>
      <c r="T31" s="928">
        <v>0.7</v>
      </c>
      <c r="U31" s="928"/>
      <c r="V31" s="8"/>
      <c r="W31" s="966"/>
      <c r="X31" s="966"/>
      <c r="Y31" s="966"/>
      <c r="Z31" s="966"/>
      <c r="AA31" s="966"/>
      <c r="AL31" s="275"/>
      <c r="AM31" s="275"/>
      <c r="AN31" s="275"/>
      <c r="AO31" s="275"/>
      <c r="AP31" s="8"/>
    </row>
    <row r="32" spans="1:42" ht="14.4" customHeight="1" x14ac:dyDescent="0.35">
      <c r="A32" s="8"/>
      <c r="B32" s="1663"/>
      <c r="C32" s="8"/>
      <c r="D32" s="907"/>
      <c r="E32" s="11"/>
      <c r="F32" s="925"/>
      <c r="G32" s="955" t="s">
        <v>714</v>
      </c>
      <c r="H32" s="14"/>
      <c r="I32" s="934" t="s">
        <v>263</v>
      </c>
      <c r="J32" s="11" t="s">
        <v>716</v>
      </c>
      <c r="K32" s="369"/>
      <c r="L32" s="369"/>
      <c r="M32" s="11"/>
      <c r="N32" s="11"/>
      <c r="O32" s="967"/>
      <c r="P32" s="8"/>
      <c r="Q32" s="945" t="s">
        <v>231</v>
      </c>
      <c r="R32" s="928">
        <v>0.2</v>
      </c>
      <c r="S32" s="928">
        <v>0.5</v>
      </c>
      <c r="T32" s="928">
        <v>0.9</v>
      </c>
      <c r="U32" s="928"/>
      <c r="V32" s="8"/>
      <c r="W32" s="966"/>
      <c r="X32" s="966"/>
      <c r="Y32" s="966"/>
      <c r="Z32" s="966"/>
      <c r="AA32" s="966"/>
      <c r="AL32" s="275"/>
      <c r="AM32" s="275"/>
      <c r="AN32" s="275"/>
      <c r="AO32" s="275"/>
      <c r="AP32" s="8"/>
    </row>
    <row r="33" spans="1:42" ht="14.4" customHeight="1" x14ac:dyDescent="0.35">
      <c r="A33" s="8"/>
      <c r="B33" s="1663"/>
      <c r="C33" s="8"/>
      <c r="D33" s="907"/>
      <c r="E33" s="11"/>
      <c r="F33" s="925"/>
      <c r="G33" s="955" t="s">
        <v>713</v>
      </c>
      <c r="H33" s="374"/>
      <c r="I33" s="934" t="s">
        <v>263</v>
      </c>
      <c r="J33" s="11"/>
      <c r="K33" s="968"/>
      <c r="L33" s="12"/>
      <c r="M33" s="11"/>
      <c r="N33" s="11"/>
      <c r="O33" s="967"/>
      <c r="P33" s="8"/>
      <c r="Q33" s="945" t="s">
        <v>757</v>
      </c>
      <c r="R33" s="928">
        <v>0.6</v>
      </c>
      <c r="S33" s="928">
        <v>0.7</v>
      </c>
      <c r="T33" s="928">
        <v>0.8</v>
      </c>
      <c r="U33" s="928"/>
      <c r="V33" s="8"/>
      <c r="W33" s="966"/>
      <c r="X33" s="966"/>
      <c r="Y33" s="966"/>
      <c r="Z33" s="966"/>
      <c r="AA33" s="966"/>
      <c r="AL33" s="275"/>
      <c r="AM33" s="275"/>
      <c r="AN33" s="275"/>
      <c r="AO33" s="275"/>
      <c r="AP33" s="8"/>
    </row>
    <row r="34" spans="1:42" ht="14.4" customHeight="1" x14ac:dyDescent="0.35">
      <c r="A34" s="8"/>
      <c r="B34" s="1663"/>
      <c r="C34" s="8"/>
      <c r="D34" s="907"/>
      <c r="E34" s="925"/>
      <c r="F34" s="925"/>
      <c r="G34" s="344" t="s">
        <v>758</v>
      </c>
      <c r="H34" s="908">
        <f>Area_Irrigated_Total*Summer_Evapotranspiration_Rate*0.6233</f>
        <v>0</v>
      </c>
      <c r="I34" s="345" t="s">
        <v>756</v>
      </c>
      <c r="J34" s="925"/>
      <c r="K34" s="925"/>
      <c r="L34" s="925"/>
      <c r="M34" s="925"/>
      <c r="N34" s="925"/>
      <c r="O34" s="967"/>
      <c r="P34" s="8"/>
      <c r="Q34" s="944"/>
      <c r="R34" s="969"/>
      <c r="S34" s="944"/>
      <c r="T34" s="944"/>
      <c r="U34" s="944"/>
      <c r="V34" s="8"/>
      <c r="W34" s="966"/>
      <c r="X34" s="966"/>
      <c r="Y34" s="966"/>
      <c r="Z34" s="966"/>
      <c r="AA34" s="966"/>
      <c r="AL34" s="275"/>
      <c r="AM34" s="275"/>
      <c r="AN34" s="275"/>
      <c r="AO34" s="275"/>
      <c r="AP34" s="8"/>
    </row>
    <row r="35" spans="1:42" ht="14.4" customHeight="1" x14ac:dyDescent="0.35">
      <c r="A35" s="8"/>
      <c r="B35" s="1663"/>
      <c r="C35" s="8"/>
      <c r="D35" s="907"/>
      <c r="E35" s="925"/>
      <c r="F35" s="925"/>
      <c r="G35" s="925"/>
      <c r="H35" s="925"/>
      <c r="I35" s="925"/>
      <c r="J35" s="925"/>
      <c r="K35" s="925"/>
      <c r="L35" s="925"/>
      <c r="M35" s="925"/>
      <c r="N35" s="925"/>
      <c r="O35" s="967"/>
      <c r="P35" s="8"/>
      <c r="Q35" s="945"/>
      <c r="R35" s="928"/>
      <c r="S35" s="927"/>
      <c r="T35" s="916"/>
      <c r="U35" s="928"/>
      <c r="V35" s="8"/>
      <c r="W35" s="966"/>
      <c r="X35" s="966"/>
      <c r="Y35" s="966"/>
      <c r="Z35" s="966"/>
      <c r="AA35" s="966"/>
      <c r="AL35" s="275"/>
      <c r="AM35" s="275"/>
      <c r="AN35" s="275"/>
      <c r="AO35" s="275"/>
      <c r="AP35" s="8"/>
    </row>
    <row r="36" spans="1:42" ht="14.4" customHeight="1" x14ac:dyDescent="0.35">
      <c r="A36" s="8"/>
      <c r="B36" s="1663"/>
      <c r="C36" s="8"/>
      <c r="D36" s="907"/>
      <c r="E36" s="925"/>
      <c r="F36" s="925"/>
      <c r="G36" s="816" t="s">
        <v>911</v>
      </c>
      <c r="H36" s="970">
        <f>H34*0.7</f>
        <v>0</v>
      </c>
      <c r="I36" s="345" t="s">
        <v>756</v>
      </c>
      <c r="J36" s="925"/>
      <c r="K36" s="925"/>
      <c r="L36" s="925"/>
      <c r="M36" s="925"/>
      <c r="N36" s="925"/>
      <c r="O36" s="967"/>
      <c r="P36" s="8"/>
      <c r="Q36" s="944"/>
      <c r="R36" s="969"/>
      <c r="S36" s="944"/>
      <c r="T36" s="944"/>
      <c r="U36" s="944"/>
      <c r="V36" s="8"/>
      <c r="W36" s="966"/>
      <c r="X36" s="966"/>
      <c r="Y36" s="966"/>
      <c r="Z36" s="966"/>
      <c r="AA36" s="966"/>
      <c r="AL36" s="275"/>
      <c r="AM36" s="275"/>
      <c r="AN36" s="275"/>
      <c r="AO36" s="275"/>
      <c r="AP36" s="8"/>
    </row>
    <row r="37" spans="1:42" ht="14.4" customHeight="1" x14ac:dyDescent="0.35">
      <c r="A37" s="8"/>
      <c r="B37" s="1663"/>
      <c r="C37" s="8"/>
      <c r="D37" s="907"/>
      <c r="E37" s="925"/>
      <c r="F37" s="925"/>
      <c r="G37" s="816" t="s">
        <v>898</v>
      </c>
      <c r="H37" s="527">
        <f>H36*12</f>
        <v>0</v>
      </c>
      <c r="I37" s="345" t="s">
        <v>756</v>
      </c>
      <c r="J37" s="925"/>
      <c r="K37" s="925"/>
      <c r="L37" s="925"/>
      <c r="M37" s="925"/>
      <c r="N37" s="925"/>
      <c r="O37" s="967"/>
      <c r="P37" s="8"/>
      <c r="Q37" s="944"/>
      <c r="R37" s="969"/>
      <c r="S37" s="944"/>
      <c r="T37" s="944"/>
      <c r="U37" s="944"/>
      <c r="V37" s="8"/>
      <c r="W37" s="966"/>
      <c r="X37" s="966"/>
      <c r="Y37" s="966"/>
      <c r="Z37" s="966"/>
      <c r="AA37" s="966"/>
      <c r="AL37" s="275"/>
      <c r="AM37" s="275"/>
      <c r="AN37" s="275"/>
      <c r="AO37" s="275"/>
      <c r="AP37" s="8"/>
    </row>
    <row r="38" spans="1:42" ht="14.4" customHeight="1" x14ac:dyDescent="0.35">
      <c r="A38" s="8"/>
      <c r="B38" s="1663"/>
      <c r="C38" s="8"/>
      <c r="D38" s="907"/>
      <c r="E38" s="971"/>
      <c r="F38" s="971"/>
      <c r="G38" s="816"/>
      <c r="H38" s="972"/>
      <c r="I38" s="345"/>
      <c r="J38" s="971"/>
      <c r="K38" s="971"/>
      <c r="L38" s="971"/>
      <c r="M38" s="971"/>
      <c r="N38" s="971"/>
      <c r="O38" s="967"/>
      <c r="P38" s="8"/>
      <c r="Q38" s="973" t="s">
        <v>711</v>
      </c>
      <c r="R38" s="958" t="s">
        <v>745</v>
      </c>
      <c r="S38" s="958"/>
      <c r="T38" s="958"/>
      <c r="U38" s="974"/>
      <c r="V38" s="8"/>
      <c r="W38" s="966"/>
      <c r="X38" s="966"/>
      <c r="Y38" s="966"/>
      <c r="Z38" s="966"/>
      <c r="AA38" s="966"/>
      <c r="AL38" s="275"/>
      <c r="AM38" s="275"/>
      <c r="AN38" s="275"/>
      <c r="AO38" s="275"/>
      <c r="AP38" s="8"/>
    </row>
    <row r="39" spans="1:42" ht="14.4" customHeight="1" x14ac:dyDescent="0.35">
      <c r="A39" s="8"/>
      <c r="B39" s="1663"/>
      <c r="C39" s="975"/>
      <c r="D39" s="976"/>
      <c r="E39" s="11"/>
      <c r="F39" s="11"/>
      <c r="G39" s="977"/>
      <c r="H39" s="11"/>
      <c r="I39" s="11"/>
      <c r="J39" s="11"/>
      <c r="K39" s="968"/>
      <c r="L39" s="978" t="s">
        <v>741</v>
      </c>
      <c r="M39" s="978"/>
      <c r="N39" s="979"/>
      <c r="O39" s="980"/>
      <c r="P39" s="8"/>
      <c r="Q39" s="945" t="s">
        <v>724</v>
      </c>
      <c r="R39" s="348">
        <v>0.9</v>
      </c>
      <c r="S39" s="953"/>
      <c r="T39" s="953"/>
      <c r="U39" s="928"/>
      <c r="V39" s="8"/>
      <c r="W39" s="966"/>
      <c r="X39" s="966"/>
      <c r="Y39" s="966"/>
      <c r="Z39" s="966"/>
      <c r="AA39" s="966"/>
      <c r="AL39" s="275"/>
      <c r="AM39" s="275"/>
      <c r="AN39" s="275"/>
      <c r="AO39" s="275"/>
      <c r="AP39" s="8"/>
    </row>
    <row r="40" spans="1:42" ht="14.4" customHeight="1" x14ac:dyDescent="0.35">
      <c r="A40" s="8"/>
      <c r="B40" s="1663"/>
      <c r="C40" s="8"/>
      <c r="D40" s="907"/>
      <c r="E40" s="978" t="s">
        <v>738</v>
      </c>
      <c r="F40" s="978" t="s">
        <v>1237</v>
      </c>
      <c r="G40" s="978" t="s">
        <v>1238</v>
      </c>
      <c r="H40" s="978" t="s">
        <v>1239</v>
      </c>
      <c r="I40" s="1665" t="s">
        <v>731</v>
      </c>
      <c r="J40" s="1665"/>
      <c r="K40" s="978" t="s">
        <v>737</v>
      </c>
      <c r="L40" s="926" t="s">
        <v>740</v>
      </c>
      <c r="M40" s="978" t="s">
        <v>710</v>
      </c>
      <c r="N40" s="978"/>
      <c r="O40" s="982"/>
      <c r="P40" s="275"/>
      <c r="Q40" s="945" t="s">
        <v>723</v>
      </c>
      <c r="R40" s="348">
        <v>0.7</v>
      </c>
      <c r="S40" s="953"/>
      <c r="T40" s="953"/>
      <c r="U40" s="928"/>
      <c r="V40" s="8"/>
      <c r="W40" s="966"/>
      <c r="X40" s="966"/>
      <c r="Y40" s="966"/>
      <c r="Z40" s="966"/>
      <c r="AA40" s="966"/>
      <c r="AL40" s="275"/>
      <c r="AM40" s="275"/>
      <c r="AN40" s="275"/>
      <c r="AO40" s="275"/>
      <c r="AP40" s="8"/>
    </row>
    <row r="41" spans="1:42" ht="14.4" customHeight="1" x14ac:dyDescent="0.35">
      <c r="A41" s="8"/>
      <c r="B41" s="1663"/>
      <c r="C41" s="8"/>
      <c r="D41" s="907"/>
      <c r="E41" s="356"/>
      <c r="F41" s="355"/>
      <c r="G41" s="355"/>
      <c r="H41" s="355"/>
      <c r="I41" s="1693" t="str">
        <f t="shared" ref="I41:I48" si="0">IFERROR(INDEX(Plant_Type_Table,MATCH(F:F,Plant_Type_Table_Headers,0),MATCH(G:G,Plant_Type_Table_Columns,0)),"")</f>
        <v/>
      </c>
      <c r="J41" s="1694"/>
      <c r="K41" s="350" t="str">
        <f t="shared" ref="K41:K48" si="1">IFERROR(VLOOKUP(H:H,Irrigation_Type_Table,2,TRUE),"")</f>
        <v/>
      </c>
      <c r="L41" s="983" t="str">
        <f t="shared" ref="L41:L48" si="2">IFERROR(((1/K:K)*((Summer_Evapotranspiration_Rate*I:I)-(Rainfall_Average*0.25))*E:E*0.6233),"")</f>
        <v/>
      </c>
      <c r="M41" s="908" t="str">
        <f>IFERROR(L41*12,"")</f>
        <v/>
      </c>
      <c r="N41" s="1668" t="s">
        <v>899</v>
      </c>
      <c r="O41" s="982"/>
      <c r="P41" s="8"/>
      <c r="Q41" s="945" t="s">
        <v>721</v>
      </c>
      <c r="R41" s="348">
        <v>0.65</v>
      </c>
      <c r="S41" s="953"/>
      <c r="T41" s="953"/>
      <c r="U41" s="928"/>
      <c r="V41" s="8"/>
      <c r="W41" s="966"/>
      <c r="X41" s="966"/>
      <c r="Y41" s="966"/>
      <c r="Z41" s="966"/>
      <c r="AA41" s="966"/>
      <c r="AL41" s="275"/>
      <c r="AM41" s="275"/>
      <c r="AN41" s="275"/>
      <c r="AO41" s="275"/>
      <c r="AP41" s="8"/>
    </row>
    <row r="42" spans="1:42" ht="14.4" customHeight="1" x14ac:dyDescent="0.35">
      <c r="A42" s="8"/>
      <c r="B42" s="1663"/>
      <c r="C42" s="975"/>
      <c r="D42" s="907"/>
      <c r="E42" s="356"/>
      <c r="F42" s="355"/>
      <c r="G42" s="355"/>
      <c r="H42" s="355"/>
      <c r="I42" s="1666" t="str">
        <f t="shared" si="0"/>
        <v/>
      </c>
      <c r="J42" s="1667"/>
      <c r="K42" s="313" t="str">
        <f t="shared" si="1"/>
        <v/>
      </c>
      <c r="L42" s="985" t="str">
        <f t="shared" si="2"/>
        <v/>
      </c>
      <c r="M42" s="986" t="str">
        <f t="shared" ref="M42:M48" si="3">IFERROR(L42*12,"")</f>
        <v/>
      </c>
      <c r="N42" s="1668"/>
      <c r="O42" s="813"/>
      <c r="P42" s="8"/>
      <c r="Q42" s="945" t="s">
        <v>722</v>
      </c>
      <c r="R42" s="348">
        <v>0.7</v>
      </c>
      <c r="S42" s="953"/>
      <c r="T42" s="953"/>
      <c r="U42" s="928"/>
      <c r="V42" s="8"/>
      <c r="W42" s="966"/>
      <c r="X42" s="966"/>
      <c r="Y42" s="966"/>
      <c r="Z42" s="966"/>
      <c r="AA42" s="966"/>
      <c r="AL42" s="275"/>
      <c r="AM42" s="275"/>
      <c r="AN42" s="275"/>
      <c r="AO42" s="275"/>
      <c r="AP42" s="8"/>
    </row>
    <row r="43" spans="1:42" ht="14.4" customHeight="1" x14ac:dyDescent="0.35">
      <c r="A43" s="8"/>
      <c r="B43" s="1663"/>
      <c r="C43" s="8"/>
      <c r="D43" s="907"/>
      <c r="E43" s="356"/>
      <c r="F43" s="355"/>
      <c r="G43" s="355"/>
      <c r="H43" s="355"/>
      <c r="I43" s="1666" t="str">
        <f t="shared" si="0"/>
        <v/>
      </c>
      <c r="J43" s="1667"/>
      <c r="K43" s="313" t="str">
        <f t="shared" si="1"/>
        <v/>
      </c>
      <c r="L43" s="985" t="str">
        <f t="shared" si="2"/>
        <v/>
      </c>
      <c r="M43" s="986" t="str">
        <f t="shared" si="3"/>
        <v/>
      </c>
      <c r="N43" s="1668"/>
      <c r="O43" s="813"/>
      <c r="P43" s="8"/>
      <c r="Q43" s="945" t="s">
        <v>736</v>
      </c>
      <c r="R43" s="348">
        <v>0.65</v>
      </c>
      <c r="S43" s="927"/>
      <c r="T43" s="927"/>
      <c r="U43" s="928"/>
      <c r="V43" s="8"/>
      <c r="W43" s="966"/>
      <c r="X43" s="966"/>
      <c r="Y43" s="966"/>
      <c r="Z43" s="966"/>
      <c r="AA43" s="966"/>
      <c r="AI43" s="275"/>
      <c r="AJ43" s="275"/>
      <c r="AK43" s="275"/>
      <c r="AL43" s="275"/>
      <c r="AM43" s="275"/>
      <c r="AN43" s="275"/>
      <c r="AO43" s="275"/>
      <c r="AP43" s="8"/>
    </row>
    <row r="44" spans="1:42" ht="14.4" customHeight="1" x14ac:dyDescent="0.35">
      <c r="A44" s="8"/>
      <c r="B44" s="1663"/>
      <c r="C44" s="8"/>
      <c r="D44" s="907"/>
      <c r="E44" s="354"/>
      <c r="F44" s="355"/>
      <c r="G44" s="355"/>
      <c r="H44" s="355"/>
      <c r="I44" s="1666" t="str">
        <f t="shared" si="0"/>
        <v/>
      </c>
      <c r="J44" s="1667"/>
      <c r="K44" s="313" t="str">
        <f t="shared" si="1"/>
        <v/>
      </c>
      <c r="L44" s="985" t="str">
        <f t="shared" si="2"/>
        <v/>
      </c>
      <c r="M44" s="986" t="str">
        <f t="shared" si="3"/>
        <v/>
      </c>
      <c r="N44" s="987" t="s">
        <v>900</v>
      </c>
      <c r="O44" s="813"/>
      <c r="P44" s="8"/>
      <c r="Q44" s="945" t="s">
        <v>735</v>
      </c>
      <c r="R44" s="348">
        <v>0.7</v>
      </c>
      <c r="S44" s="927"/>
      <c r="T44" s="927"/>
      <c r="U44" s="928"/>
      <c r="V44" s="8"/>
      <c r="W44" s="966"/>
      <c r="X44" s="966"/>
      <c r="Y44" s="966"/>
      <c r="Z44" s="966"/>
      <c r="AA44" s="966"/>
      <c r="AL44" s="275"/>
      <c r="AM44" s="275"/>
      <c r="AN44" s="275"/>
      <c r="AO44" s="275"/>
      <c r="AP44" s="8"/>
    </row>
    <row r="45" spans="1:42" ht="14.4" customHeight="1" x14ac:dyDescent="0.35">
      <c r="A45" s="8"/>
      <c r="B45" s="1663"/>
      <c r="C45" s="8"/>
      <c r="D45" s="907"/>
      <c r="E45" s="354"/>
      <c r="F45" s="355"/>
      <c r="G45" s="355"/>
      <c r="H45" s="355"/>
      <c r="I45" s="1666" t="str">
        <f t="shared" si="0"/>
        <v/>
      </c>
      <c r="J45" s="1667"/>
      <c r="K45" s="313" t="str">
        <f t="shared" si="1"/>
        <v/>
      </c>
      <c r="L45" s="985" t="str">
        <f t="shared" si="2"/>
        <v/>
      </c>
      <c r="M45" s="986" t="str">
        <f t="shared" si="3"/>
        <v/>
      </c>
      <c r="N45" s="987"/>
      <c r="O45" s="813"/>
      <c r="P45" s="8"/>
      <c r="Q45" s="944"/>
      <c r="R45" s="969"/>
      <c r="S45" s="927"/>
      <c r="T45" s="927"/>
      <c r="U45" s="928"/>
      <c r="V45" s="8"/>
      <c r="W45" s="988"/>
      <c r="X45" s="988"/>
      <c r="Y45" s="988"/>
      <c r="Z45" s="988"/>
      <c r="AA45" s="988"/>
      <c r="AL45" s="275"/>
      <c r="AM45" s="275"/>
      <c r="AN45" s="275"/>
      <c r="AO45" s="275"/>
      <c r="AP45" s="8"/>
    </row>
    <row r="46" spans="1:42" ht="14.4" customHeight="1" x14ac:dyDescent="0.35">
      <c r="A46" s="8"/>
      <c r="B46" s="1663"/>
      <c r="C46" s="8"/>
      <c r="D46" s="907"/>
      <c r="E46" s="354"/>
      <c r="F46" s="355"/>
      <c r="G46" s="355"/>
      <c r="H46" s="355"/>
      <c r="I46" s="1666" t="str">
        <f t="shared" si="0"/>
        <v/>
      </c>
      <c r="J46" s="1667"/>
      <c r="K46" s="313" t="str">
        <f t="shared" si="1"/>
        <v/>
      </c>
      <c r="L46" s="985" t="str">
        <f t="shared" si="2"/>
        <v/>
      </c>
      <c r="M46" s="986" t="str">
        <f t="shared" si="3"/>
        <v/>
      </c>
      <c r="N46" s="1669" t="s">
        <v>901</v>
      </c>
      <c r="O46" s="813"/>
      <c r="P46" s="8"/>
      <c r="Q46" s="944"/>
      <c r="R46" s="969"/>
      <c r="S46" s="927"/>
      <c r="T46" s="927"/>
      <c r="U46" s="928"/>
      <c r="V46" s="8"/>
      <c r="W46" s="988"/>
      <c r="X46" s="988"/>
      <c r="Y46" s="988"/>
      <c r="Z46" s="988"/>
      <c r="AA46" s="988"/>
      <c r="AL46" s="275"/>
      <c r="AM46" s="275"/>
      <c r="AN46" s="275"/>
      <c r="AO46" s="275"/>
      <c r="AP46" s="8"/>
    </row>
    <row r="47" spans="1:42" ht="14.4" customHeight="1" x14ac:dyDescent="0.35">
      <c r="A47" s="8"/>
      <c r="B47" s="1663"/>
      <c r="C47" s="8"/>
      <c r="D47" s="907"/>
      <c r="E47" s="354"/>
      <c r="F47" s="355"/>
      <c r="G47" s="355"/>
      <c r="H47" s="355"/>
      <c r="I47" s="1666" t="str">
        <f t="shared" si="0"/>
        <v/>
      </c>
      <c r="J47" s="1667"/>
      <c r="K47" s="313" t="str">
        <f t="shared" si="1"/>
        <v/>
      </c>
      <c r="L47" s="985" t="str">
        <f t="shared" si="2"/>
        <v/>
      </c>
      <c r="M47" s="986" t="str">
        <f t="shared" si="3"/>
        <v/>
      </c>
      <c r="N47" s="1669"/>
      <c r="O47" s="813"/>
      <c r="P47" s="8"/>
      <c r="Q47" s="973" t="s">
        <v>747</v>
      </c>
      <c r="R47" s="959" t="s">
        <v>725</v>
      </c>
      <c r="S47" s="959" t="s">
        <v>726</v>
      </c>
      <c r="T47" s="959" t="s">
        <v>727</v>
      </c>
      <c r="U47" s="959" t="s">
        <v>728</v>
      </c>
      <c r="V47" s="8"/>
      <c r="W47" s="966"/>
      <c r="X47" s="966"/>
      <c r="Y47" s="966"/>
      <c r="Z47" s="966"/>
      <c r="AA47" s="966"/>
      <c r="AL47" s="275"/>
      <c r="AM47" s="275"/>
      <c r="AN47" s="275"/>
      <c r="AO47" s="275"/>
      <c r="AP47" s="8"/>
    </row>
    <row r="48" spans="1:42" ht="14.4" customHeight="1" x14ac:dyDescent="0.35">
      <c r="A48" s="8"/>
      <c r="B48" s="1663"/>
      <c r="C48" s="8"/>
      <c r="D48" s="907"/>
      <c r="E48" s="354"/>
      <c r="F48" s="355"/>
      <c r="G48" s="355"/>
      <c r="H48" s="355"/>
      <c r="I48" s="1695" t="str">
        <f t="shared" si="0"/>
        <v/>
      </c>
      <c r="J48" s="1696"/>
      <c r="K48" s="351" t="str">
        <f t="shared" si="1"/>
        <v/>
      </c>
      <c r="L48" s="989" t="str">
        <f t="shared" si="2"/>
        <v/>
      </c>
      <c r="M48" s="970" t="str">
        <f t="shared" si="3"/>
        <v/>
      </c>
      <c r="N48" s="1669"/>
      <c r="O48" s="813"/>
      <c r="P48" s="8"/>
      <c r="Q48" s="945" t="s">
        <v>717</v>
      </c>
      <c r="R48" s="928" t="s">
        <v>216</v>
      </c>
      <c r="S48" s="928" t="s">
        <v>216</v>
      </c>
      <c r="T48" s="903"/>
      <c r="U48" s="990" t="s">
        <v>744</v>
      </c>
      <c r="V48" s="8"/>
      <c r="W48" s="966"/>
      <c r="X48" s="966"/>
      <c r="Y48" s="966"/>
      <c r="Z48" s="966"/>
      <c r="AA48" s="966"/>
      <c r="AL48" s="275"/>
      <c r="AM48" s="275"/>
      <c r="AN48" s="275"/>
      <c r="AO48" s="275"/>
      <c r="AP48" s="8"/>
    </row>
    <row r="49" spans="1:42" ht="14.4" customHeight="1" x14ac:dyDescent="0.35">
      <c r="A49" s="8"/>
      <c r="B49" s="1663"/>
      <c r="C49" s="8"/>
      <c r="D49" s="991"/>
      <c r="E49" s="925"/>
      <c r="F49" s="925"/>
      <c r="G49" s="925"/>
      <c r="H49" s="925"/>
      <c r="I49" s="925"/>
      <c r="J49" s="925"/>
      <c r="K49" s="925"/>
      <c r="L49" s="925"/>
      <c r="M49" s="925"/>
      <c r="N49" s="986"/>
      <c r="O49" s="980"/>
      <c r="P49" s="8"/>
      <c r="Q49" s="945" t="s">
        <v>233</v>
      </c>
      <c r="R49" s="928" t="s">
        <v>216</v>
      </c>
      <c r="S49" s="928" t="s">
        <v>216</v>
      </c>
      <c r="T49" s="903"/>
      <c r="U49" s="990" t="s">
        <v>744</v>
      </c>
      <c r="V49" s="8"/>
      <c r="W49" s="966"/>
      <c r="X49" s="966"/>
      <c r="Y49" s="966"/>
      <c r="Z49" s="966"/>
      <c r="AA49" s="966"/>
      <c r="AL49" s="275"/>
      <c r="AM49" s="275"/>
      <c r="AN49" s="275"/>
      <c r="AO49" s="275"/>
      <c r="AP49" s="8"/>
    </row>
    <row r="50" spans="1:42" ht="14.4" customHeight="1" thickBot="1" x14ac:dyDescent="0.4">
      <c r="A50" s="8"/>
      <c r="B50" s="1663"/>
      <c r="C50" s="8"/>
      <c r="D50" s="907"/>
      <c r="E50" s="559">
        <f>SUM(E41:E48)</f>
        <v>0</v>
      </c>
      <c r="F50" s="1670" t="s">
        <v>733</v>
      </c>
      <c r="G50" s="1671"/>
      <c r="H50" s="925"/>
      <c r="I50" s="925"/>
      <c r="J50" s="925"/>
      <c r="K50" s="344" t="s">
        <v>742</v>
      </c>
      <c r="L50" s="992">
        <f>SUM(L41:L48)</f>
        <v>0</v>
      </c>
      <c r="M50" s="992">
        <f>SUM(M41:M48)</f>
        <v>0</v>
      </c>
      <c r="N50" s="972"/>
      <c r="O50" s="813"/>
      <c r="P50" s="8"/>
      <c r="Q50" s="945" t="s">
        <v>231</v>
      </c>
      <c r="R50" s="928" t="s">
        <v>216</v>
      </c>
      <c r="S50" s="928" t="s">
        <v>216</v>
      </c>
      <c r="T50" s="903"/>
      <c r="U50" s="990" t="s">
        <v>744</v>
      </c>
      <c r="V50" s="8"/>
      <c r="W50" s="966"/>
      <c r="X50" s="966"/>
      <c r="Y50" s="966"/>
      <c r="Z50" s="966"/>
      <c r="AA50" s="966"/>
      <c r="AL50" s="275"/>
      <c r="AM50" s="275"/>
      <c r="AN50" s="275"/>
      <c r="AO50" s="275"/>
      <c r="AP50" s="8"/>
    </row>
    <row r="51" spans="1:42" ht="14.4" customHeight="1" thickBot="1" x14ac:dyDescent="0.4">
      <c r="A51" s="8"/>
      <c r="B51" s="1663"/>
      <c r="C51" s="8"/>
      <c r="D51" s="907"/>
      <c r="E51" s="925"/>
      <c r="F51" s="925"/>
      <c r="G51" s="925"/>
      <c r="H51" s="925"/>
      <c r="I51" s="993"/>
      <c r="J51" s="993"/>
      <c r="K51" s="816" t="s">
        <v>739</v>
      </c>
      <c r="L51" s="1718">
        <f>IFERROR(IF(Water_Potable_Used_for_Irrigation_YN="No",1,(1-(Irrigation_LWR_Annual/Irrigation_LWA_Annual))),0)</f>
        <v>0</v>
      </c>
      <c r="M51" s="1719"/>
      <c r="N51" s="972"/>
      <c r="O51" s="813"/>
      <c r="P51" s="8"/>
      <c r="Q51" s="945" t="s">
        <v>757</v>
      </c>
      <c r="R51" s="928" t="s">
        <v>216</v>
      </c>
      <c r="S51" s="928" t="s">
        <v>216</v>
      </c>
      <c r="T51" s="928" t="s">
        <v>216</v>
      </c>
      <c r="U51" s="928" t="s">
        <v>216</v>
      </c>
      <c r="V51" s="8"/>
      <c r="W51" s="966"/>
      <c r="X51" s="966"/>
      <c r="Y51" s="966"/>
      <c r="Z51" s="966"/>
      <c r="AA51" s="966"/>
      <c r="AL51" s="275"/>
      <c r="AM51" s="275"/>
      <c r="AN51" s="275"/>
      <c r="AO51" s="275"/>
      <c r="AP51" s="8"/>
    </row>
    <row r="52" spans="1:42" ht="14.4" customHeight="1" x14ac:dyDescent="0.35">
      <c r="A52" s="8"/>
      <c r="B52" s="1663"/>
      <c r="C52" s="8"/>
      <c r="D52" s="994"/>
      <c r="E52" s="919"/>
      <c r="F52" s="919"/>
      <c r="G52" s="919"/>
      <c r="H52" s="919"/>
      <c r="I52" s="919"/>
      <c r="J52" s="919"/>
      <c r="K52" s="919"/>
      <c r="L52" s="919"/>
      <c r="M52" s="919"/>
      <c r="N52" s="919"/>
      <c r="O52" s="995"/>
      <c r="P52" s="8"/>
      <c r="Q52" s="944"/>
      <c r="R52" s="969"/>
      <c r="S52" s="944"/>
      <c r="T52" s="944"/>
      <c r="U52" s="944"/>
      <c r="V52" s="8"/>
      <c r="W52" s="988"/>
      <c r="X52" s="988"/>
      <c r="Y52" s="988"/>
      <c r="Z52" s="988"/>
      <c r="AA52" s="988"/>
      <c r="AL52" s="275"/>
      <c r="AM52" s="275"/>
      <c r="AN52" s="275"/>
      <c r="AO52" s="275"/>
      <c r="AP52" s="8"/>
    </row>
    <row r="53" spans="1:42" ht="14.4" customHeight="1" x14ac:dyDescent="0.35">
      <c r="A53" s="8"/>
      <c r="B53" s="892"/>
      <c r="C53" s="8"/>
      <c r="D53" s="996"/>
      <c r="E53" s="996"/>
      <c r="F53" s="996"/>
      <c r="G53" s="996"/>
      <c r="H53" s="996"/>
      <c r="I53" s="996"/>
      <c r="J53" s="8"/>
      <c r="K53" s="8"/>
      <c r="L53" s="8"/>
      <c r="M53" s="8"/>
      <c r="N53" s="8"/>
      <c r="O53" s="8"/>
      <c r="P53" s="8"/>
      <c r="Q53" s="8"/>
      <c r="R53" s="64"/>
      <c r="S53" s="8"/>
      <c r="T53" s="8"/>
      <c r="U53" s="8"/>
      <c r="V53" s="8"/>
      <c r="W53" s="8"/>
      <c r="X53" s="8"/>
      <c r="Y53" s="8"/>
      <c r="Z53" s="8"/>
      <c r="AA53" s="8"/>
      <c r="AI53" s="275"/>
      <c r="AJ53" s="275"/>
      <c r="AK53" s="275"/>
      <c r="AL53" s="275"/>
      <c r="AM53" s="275"/>
      <c r="AN53" s="275"/>
      <c r="AO53" s="275"/>
      <c r="AP53" s="8"/>
    </row>
    <row r="54" spans="1:42" ht="14.4" customHeight="1" x14ac:dyDescent="0.35">
      <c r="A54" s="8"/>
      <c r="B54" s="1622" t="s">
        <v>768</v>
      </c>
      <c r="C54" s="8"/>
      <c r="D54" s="1642" t="s">
        <v>966</v>
      </c>
      <c r="E54" s="1643"/>
      <c r="F54" s="1643"/>
      <c r="G54" s="1643"/>
      <c r="H54" s="1643"/>
      <c r="I54" s="1643"/>
      <c r="J54" s="1643"/>
      <c r="K54" s="1643"/>
      <c r="L54" s="1643"/>
      <c r="M54" s="1643"/>
      <c r="N54" s="1643"/>
      <c r="O54" s="1644"/>
      <c r="P54" s="8"/>
      <c r="Q54" s="948"/>
      <c r="R54" s="154"/>
      <c r="S54" s="948"/>
      <c r="T54" s="948"/>
      <c r="U54" s="948"/>
      <c r="V54" s="8"/>
      <c r="W54" s="948"/>
      <c r="X54" s="948"/>
      <c r="Y54" s="948"/>
      <c r="Z54" s="948"/>
      <c r="AA54" s="948"/>
      <c r="AI54" s="275"/>
      <c r="AJ54" s="275"/>
      <c r="AK54" s="275"/>
      <c r="AL54" s="275"/>
      <c r="AM54" s="275"/>
      <c r="AN54" s="275"/>
      <c r="AO54" s="275"/>
      <c r="AP54" s="8"/>
    </row>
    <row r="55" spans="1:42" ht="14.4" customHeight="1" x14ac:dyDescent="0.35">
      <c r="A55" s="8"/>
      <c r="B55" s="1622"/>
      <c r="C55" s="975"/>
      <c r="D55" s="997"/>
      <c r="E55" s="997"/>
      <c r="F55" s="997"/>
      <c r="G55" s="997"/>
      <c r="H55" s="997"/>
      <c r="I55" s="997"/>
      <c r="J55" s="997"/>
      <c r="K55" s="997"/>
      <c r="L55" s="998"/>
      <c r="M55" s="998"/>
      <c r="N55" s="998"/>
      <c r="O55" s="999"/>
      <c r="P55" s="8"/>
      <c r="Q55" s="1717" t="s">
        <v>766</v>
      </c>
      <c r="R55" s="1717"/>
      <c r="S55" s="1717"/>
      <c r="T55" s="1717"/>
      <c r="U55" s="1717"/>
      <c r="V55" s="8"/>
      <c r="W55" s="904" t="str">
        <f>HYPERLINK("https://www.eia.gov/consumption/commercial/reports/2012/water/pdf/users%20guide%20to%202012%20water%20public%20use.pdf","Source: CBECS Table W1. Water consumption 2012")</f>
        <v>Source: CBECS Table W1. Water consumption 2012</v>
      </c>
      <c r="X55" s="927"/>
      <c r="Y55" s="927"/>
      <c r="Z55" s="927"/>
      <c r="AA55" s="927"/>
      <c r="AI55" s="275"/>
      <c r="AJ55" s="275"/>
      <c r="AK55" s="275"/>
      <c r="AL55" s="275"/>
      <c r="AM55" s="275"/>
      <c r="AN55" s="275"/>
      <c r="AO55" s="275"/>
      <c r="AP55" s="8"/>
    </row>
    <row r="56" spans="1:42" ht="14.4" customHeight="1" x14ac:dyDescent="0.35">
      <c r="A56" s="8"/>
      <c r="B56" s="1622"/>
      <c r="C56" s="975"/>
      <c r="D56" s="1001"/>
      <c r="E56" s="1001"/>
      <c r="F56" s="1001"/>
      <c r="G56" s="1002" t="s">
        <v>1077</v>
      </c>
      <c r="H56" s="5"/>
      <c r="I56" s="1003" t="s">
        <v>687</v>
      </c>
      <c r="J56" s="1001"/>
      <c r="K56" s="1675" t="s">
        <v>782</v>
      </c>
      <c r="L56" s="1675"/>
      <c r="M56" s="979"/>
      <c r="N56" s="979"/>
      <c r="O56" s="980"/>
      <c r="P56" s="8"/>
      <c r="Q56" s="1717"/>
      <c r="R56" s="1717"/>
      <c r="S56" s="1717"/>
      <c r="T56" s="1717"/>
      <c r="U56" s="1717"/>
      <c r="V56" s="8"/>
      <c r="W56" s="904"/>
      <c r="X56" s="927"/>
      <c r="Y56" s="927"/>
      <c r="Z56" s="927"/>
      <c r="AA56" s="927"/>
      <c r="AI56" s="275"/>
      <c r="AJ56" s="275"/>
      <c r="AK56" s="275"/>
      <c r="AL56" s="275"/>
      <c r="AM56" s="275"/>
      <c r="AN56" s="275"/>
      <c r="AO56" s="275"/>
      <c r="AP56" s="8"/>
    </row>
    <row r="57" spans="1:42" ht="14.4" customHeight="1" x14ac:dyDescent="0.35">
      <c r="A57" s="8"/>
      <c r="B57" s="1622"/>
      <c r="C57" s="975"/>
      <c r="D57" s="971"/>
      <c r="E57" s="938"/>
      <c r="F57" s="938"/>
      <c r="G57" s="1002" t="s">
        <v>743</v>
      </c>
      <c r="H57" s="342"/>
      <c r="I57" s="1003" t="s">
        <v>687</v>
      </c>
      <c r="J57" s="956"/>
      <c r="K57" s="1675" t="s">
        <v>782</v>
      </c>
      <c r="L57" s="1675"/>
      <c r="M57" s="1004"/>
      <c r="N57" s="1004"/>
      <c r="O57" s="957"/>
      <c r="P57" s="8"/>
      <c r="Q57" s="1717"/>
      <c r="R57" s="1717"/>
      <c r="S57" s="1717"/>
      <c r="T57" s="1717"/>
      <c r="U57" s="1717"/>
      <c r="V57" s="8"/>
      <c r="W57" s="927"/>
      <c r="X57" s="927"/>
      <c r="Y57" s="902"/>
      <c r="Z57" s="902"/>
      <c r="AA57" s="902"/>
      <c r="AI57" s="275"/>
      <c r="AJ57" s="275"/>
      <c r="AK57" s="275"/>
      <c r="AL57" s="275"/>
      <c r="AM57" s="275"/>
      <c r="AN57" s="275"/>
      <c r="AO57" s="275"/>
      <c r="AP57" s="8"/>
    </row>
    <row r="58" spans="1:42" ht="14.4" customHeight="1" x14ac:dyDescent="0.35">
      <c r="A58" s="8"/>
      <c r="B58" s="1622"/>
      <c r="C58" s="975"/>
      <c r="D58" s="971"/>
      <c r="E58" s="956"/>
      <c r="F58" s="956"/>
      <c r="G58" s="1002" t="s">
        <v>245</v>
      </c>
      <c r="H58" s="1005">
        <f>7*Percent_Building_Cooled_By_Chiller</f>
        <v>0</v>
      </c>
      <c r="I58" s="1006" t="s">
        <v>888</v>
      </c>
      <c r="J58" s="925"/>
      <c r="K58" s="956"/>
      <c r="L58" s="956"/>
      <c r="M58" s="956"/>
      <c r="N58" s="956"/>
      <c r="O58" s="957"/>
      <c r="P58" s="8"/>
      <c r="Q58" s="1717"/>
      <c r="R58" s="1717"/>
      <c r="S58" s="1717"/>
      <c r="T58" s="1717"/>
      <c r="U58" s="1717"/>
      <c r="V58" s="8"/>
      <c r="W58" s="927"/>
      <c r="X58" s="927"/>
      <c r="Y58" s="927"/>
      <c r="Z58" s="927"/>
      <c r="AA58" s="902"/>
      <c r="AI58" s="275"/>
      <c r="AJ58" s="275"/>
      <c r="AK58" s="275"/>
      <c r="AL58" s="275"/>
      <c r="AM58" s="275"/>
      <c r="AN58" s="275"/>
      <c r="AO58" s="275"/>
      <c r="AP58" s="8"/>
    </row>
    <row r="59" spans="1:42" ht="14.4" customHeight="1" x14ac:dyDescent="0.35">
      <c r="A59" s="8"/>
      <c r="B59" s="1622"/>
      <c r="C59" s="975"/>
      <c r="D59" s="971"/>
      <c r="E59" s="1007"/>
      <c r="F59" s="1007"/>
      <c r="G59" s="1008"/>
      <c r="H59" s="1009">
        <f>Cooling_Tower_Water_Use*Area_Building</f>
        <v>0</v>
      </c>
      <c r="I59" s="1006" t="s">
        <v>889</v>
      </c>
      <c r="J59" s="925"/>
      <c r="K59" s="956"/>
      <c r="L59" s="1010"/>
      <c r="M59" s="956"/>
      <c r="N59" s="956"/>
      <c r="O59" s="957"/>
      <c r="P59" s="8"/>
      <c r="Q59" s="1717"/>
      <c r="R59" s="1717"/>
      <c r="S59" s="1717"/>
      <c r="T59" s="1717"/>
      <c r="U59" s="1717"/>
      <c r="V59" s="8"/>
      <c r="W59" s="927"/>
      <c r="X59" s="927"/>
      <c r="Y59" s="927"/>
      <c r="Z59" s="927"/>
      <c r="AA59" s="902"/>
      <c r="AI59" s="275"/>
      <c r="AJ59" s="275"/>
      <c r="AK59" s="275"/>
      <c r="AL59" s="275"/>
      <c r="AM59" s="275"/>
      <c r="AN59" s="275"/>
      <c r="AO59" s="275"/>
      <c r="AP59" s="8"/>
    </row>
    <row r="60" spans="1:42" ht="14.4" customHeight="1" x14ac:dyDescent="0.35">
      <c r="A60" s="8"/>
      <c r="B60" s="1622"/>
      <c r="C60" s="975"/>
      <c r="D60" s="971"/>
      <c r="E60" s="1007"/>
      <c r="F60" s="1007"/>
      <c r="G60" s="1008"/>
      <c r="H60" s="956"/>
      <c r="I60" s="956"/>
      <c r="J60" s="962"/>
      <c r="K60" s="956"/>
      <c r="L60" s="1010"/>
      <c r="M60" s="956"/>
      <c r="N60" s="956"/>
      <c r="O60" s="957"/>
      <c r="P60" s="8"/>
      <c r="Q60" s="1717"/>
      <c r="R60" s="1717"/>
      <c r="S60" s="1717"/>
      <c r="T60" s="1717"/>
      <c r="U60" s="1717"/>
      <c r="V60" s="8"/>
      <c r="W60" s="927"/>
      <c r="X60" s="927"/>
      <c r="Y60" s="927"/>
      <c r="Z60" s="927"/>
      <c r="AA60" s="902"/>
      <c r="AI60" s="275"/>
      <c r="AJ60" s="275"/>
      <c r="AK60" s="275"/>
      <c r="AL60" s="275"/>
      <c r="AM60" s="275"/>
      <c r="AN60" s="275"/>
      <c r="AO60" s="275"/>
      <c r="AP60" s="8"/>
    </row>
    <row r="61" spans="1:42" ht="14.4" customHeight="1" x14ac:dyDescent="0.35">
      <c r="A61" s="8"/>
      <c r="B61" s="1622"/>
      <c r="C61" s="975"/>
      <c r="D61" s="971"/>
      <c r="E61" s="956"/>
      <c r="F61" s="956"/>
      <c r="G61" s="1002" t="s">
        <v>246</v>
      </c>
      <c r="H61" s="358"/>
      <c r="I61" s="1003" t="s">
        <v>687</v>
      </c>
      <c r="J61" s="1011" t="str">
        <f>IFERROR(_xlfn.IFS(H61="No",0,H61="Yes",1,H61="n/a",1),"")</f>
        <v/>
      </c>
      <c r="K61" s="1676" t="s">
        <v>782</v>
      </c>
      <c r="L61" s="1676"/>
      <c r="M61" s="1012"/>
      <c r="N61" s="1012"/>
      <c r="O61" s="1013"/>
      <c r="P61" s="8"/>
      <c r="Q61" s="1717"/>
      <c r="R61" s="1717"/>
      <c r="S61" s="1717"/>
      <c r="T61" s="1717"/>
      <c r="U61" s="1717"/>
      <c r="V61" s="8"/>
      <c r="W61" s="927"/>
      <c r="X61" s="927"/>
      <c r="Y61" s="927"/>
      <c r="Z61" s="927"/>
      <c r="AA61" s="902"/>
      <c r="AI61" s="275"/>
      <c r="AJ61" s="275"/>
      <c r="AK61" s="275"/>
      <c r="AL61" s="275"/>
      <c r="AM61" s="275"/>
      <c r="AN61" s="275"/>
      <c r="AO61" s="275"/>
      <c r="AP61" s="8"/>
    </row>
    <row r="62" spans="1:42" ht="14.4" customHeight="1" thickBot="1" x14ac:dyDescent="0.4">
      <c r="A62" s="8"/>
      <c r="B62" s="1622"/>
      <c r="C62" s="975"/>
      <c r="D62" s="971"/>
      <c r="E62" s="956"/>
      <c r="F62" s="956"/>
      <c r="G62" s="1002" t="s">
        <v>767</v>
      </c>
      <c r="H62" s="16"/>
      <c r="I62" s="1003" t="s">
        <v>687</v>
      </c>
      <c r="J62" s="1011" t="str">
        <f>IFERROR(_xlfn.IFS(H62="No",1,H62="Yes",0.75,H62="n/a",1),"")</f>
        <v/>
      </c>
      <c r="K62" s="1676" t="s">
        <v>782</v>
      </c>
      <c r="L62" s="1676"/>
      <c r="M62" s="1012"/>
      <c r="N62" s="1012"/>
      <c r="O62" s="1013"/>
      <c r="P62" s="8"/>
      <c r="Q62" s="1717"/>
      <c r="R62" s="1717"/>
      <c r="S62" s="1717"/>
      <c r="T62" s="1717"/>
      <c r="U62" s="1717"/>
      <c r="V62" s="8"/>
      <c r="W62" s="927"/>
      <c r="X62" s="927"/>
      <c r="Y62" s="927"/>
      <c r="Z62" s="927"/>
      <c r="AA62" s="902"/>
      <c r="AI62" s="275"/>
      <c r="AJ62" s="275"/>
      <c r="AK62" s="275"/>
      <c r="AL62" s="275"/>
      <c r="AM62" s="275"/>
      <c r="AN62" s="275"/>
      <c r="AO62" s="275"/>
      <c r="AP62" s="8"/>
    </row>
    <row r="63" spans="1:42" ht="14.4" customHeight="1" thickBot="1" x14ac:dyDescent="0.4">
      <c r="A63" s="8"/>
      <c r="B63" s="1622"/>
      <c r="C63" s="975"/>
      <c r="D63" s="971"/>
      <c r="E63" s="1007"/>
      <c r="F63" s="1007"/>
      <c r="G63" s="1014" t="s">
        <v>897</v>
      </c>
      <c r="H63" s="1015">
        <f>IF(H56="Yes",(H59*J61*J62),0)</f>
        <v>0</v>
      </c>
      <c r="I63" s="1016" t="s">
        <v>889</v>
      </c>
      <c r="J63" s="925"/>
      <c r="K63" s="1012"/>
      <c r="L63" s="1012"/>
      <c r="M63" s="1012"/>
      <c r="N63" s="1012"/>
      <c r="O63" s="1013"/>
      <c r="P63" s="8"/>
      <c r="Q63" s="1717"/>
      <c r="R63" s="1717"/>
      <c r="S63" s="1717"/>
      <c r="T63" s="1717"/>
      <c r="U63" s="1717"/>
      <c r="V63" s="8"/>
      <c r="W63" s="927"/>
      <c r="X63" s="927"/>
      <c r="Y63" s="927"/>
      <c r="Z63" s="927"/>
      <c r="AA63" s="902"/>
      <c r="AI63" s="275"/>
      <c r="AJ63" s="275"/>
      <c r="AK63" s="275"/>
      <c r="AL63" s="275"/>
      <c r="AM63" s="275"/>
      <c r="AN63" s="275"/>
      <c r="AO63" s="275"/>
      <c r="AP63" s="8"/>
    </row>
    <row r="64" spans="1:42" ht="14.4" customHeight="1" x14ac:dyDescent="0.35">
      <c r="A64" s="8"/>
      <c r="B64" s="1622"/>
      <c r="C64" s="975"/>
      <c r="D64" s="1017"/>
      <c r="E64" s="1017"/>
      <c r="F64" s="1017"/>
      <c r="G64" s="1017"/>
      <c r="H64" s="1017"/>
      <c r="I64" s="1017"/>
      <c r="J64" s="1017"/>
      <c r="K64" s="1017"/>
      <c r="L64" s="1017"/>
      <c r="M64" s="1017"/>
      <c r="N64" s="1017"/>
      <c r="O64" s="1018"/>
      <c r="P64" s="8"/>
      <c r="Q64" s="1717"/>
      <c r="R64" s="1717"/>
      <c r="S64" s="1717"/>
      <c r="T64" s="1717"/>
      <c r="U64" s="1717"/>
      <c r="V64" s="8"/>
      <c r="W64" s="927"/>
      <c r="X64" s="927"/>
      <c r="Y64" s="927"/>
      <c r="Z64" s="927"/>
      <c r="AA64" s="902"/>
      <c r="AI64" s="275"/>
      <c r="AJ64" s="275"/>
      <c r="AK64" s="275"/>
      <c r="AL64" s="275"/>
      <c r="AM64" s="275"/>
      <c r="AN64" s="275"/>
      <c r="AO64" s="275"/>
      <c r="AP64" s="8"/>
    </row>
    <row r="65" spans="1:42" ht="14.4" customHeight="1" x14ac:dyDescent="0.35">
      <c r="A65" s="8"/>
      <c r="B65" s="892"/>
      <c r="C65" s="8"/>
      <c r="D65" s="8"/>
      <c r="E65" s="8"/>
      <c r="F65" s="8"/>
      <c r="G65" s="8"/>
      <c r="H65" s="8"/>
      <c r="I65" s="8"/>
      <c r="J65" s="8"/>
      <c r="K65" s="8"/>
      <c r="L65" s="8"/>
      <c r="M65" s="8"/>
      <c r="N65" s="8"/>
      <c r="O65" s="8"/>
      <c r="P65" s="8"/>
      <c r="Q65" s="8"/>
      <c r="R65" s="64"/>
      <c r="S65" s="8"/>
      <c r="T65" s="8"/>
      <c r="U65" s="8"/>
      <c r="V65" s="8"/>
      <c r="W65" s="8"/>
      <c r="X65" s="8"/>
      <c r="Y65" s="8"/>
      <c r="Z65" s="8"/>
      <c r="AA65" s="8"/>
      <c r="AI65" s="275"/>
      <c r="AJ65" s="275"/>
      <c r="AK65" s="275"/>
      <c r="AL65" s="275"/>
      <c r="AM65" s="275"/>
      <c r="AN65" s="275"/>
      <c r="AO65" s="275"/>
      <c r="AP65" s="8"/>
    </row>
    <row r="66" spans="1:42" ht="14.4" customHeight="1" x14ac:dyDescent="0.35">
      <c r="A66" s="8"/>
      <c r="B66" s="1622" t="s">
        <v>1218</v>
      </c>
      <c r="C66" s="8"/>
      <c r="D66" s="1636" t="s">
        <v>967</v>
      </c>
      <c r="E66" s="1637"/>
      <c r="F66" s="1637"/>
      <c r="G66" s="1637"/>
      <c r="H66" s="1637"/>
      <c r="I66" s="1637"/>
      <c r="J66" s="1637"/>
      <c r="K66" s="1637"/>
      <c r="L66" s="1637"/>
      <c r="M66" s="1637"/>
      <c r="N66" s="1637"/>
      <c r="O66" s="1638"/>
      <c r="P66" s="8"/>
      <c r="Q66" s="944"/>
      <c r="R66" s="928"/>
      <c r="S66" s="927"/>
      <c r="T66" s="927"/>
      <c r="U66" s="927"/>
      <c r="V66" s="8"/>
      <c r="W66" s="927"/>
      <c r="X66" s="927"/>
      <c r="Y66" s="927"/>
      <c r="Z66" s="927"/>
      <c r="AA66" s="927"/>
      <c r="AI66" s="275"/>
      <c r="AJ66" s="275"/>
      <c r="AK66" s="275"/>
      <c r="AL66" s="275"/>
      <c r="AM66" s="275"/>
      <c r="AN66" s="275"/>
      <c r="AO66" s="275"/>
      <c r="AP66" s="8"/>
    </row>
    <row r="67" spans="1:42" ht="14.4" customHeight="1" x14ac:dyDescent="0.35">
      <c r="A67" s="8"/>
      <c r="B67" s="1700"/>
      <c r="C67" s="8"/>
      <c r="D67" s="921"/>
      <c r="E67" s="1019"/>
      <c r="F67" s="1019"/>
      <c r="G67" s="1019"/>
      <c r="H67" s="1019"/>
      <c r="I67" s="1019"/>
      <c r="J67" s="1019"/>
      <c r="K67" s="1019"/>
      <c r="L67" s="1019"/>
      <c r="M67" s="1019"/>
      <c r="N67" s="1019"/>
      <c r="O67" s="1020"/>
      <c r="P67" s="8"/>
      <c r="Q67" s="927" t="s">
        <v>247</v>
      </c>
      <c r="R67" s="928"/>
      <c r="S67" s="927"/>
      <c r="T67" s="927"/>
      <c r="U67" s="927"/>
      <c r="V67" s="8"/>
      <c r="W67" s="927"/>
      <c r="X67" s="927"/>
      <c r="Y67" s="927"/>
      <c r="Z67" s="927"/>
      <c r="AA67" s="927"/>
      <c r="AI67" s="275"/>
      <c r="AJ67" s="275"/>
      <c r="AK67" s="275"/>
      <c r="AL67" s="275"/>
      <c r="AM67" s="275"/>
      <c r="AN67" s="275"/>
      <c r="AO67" s="275"/>
      <c r="AP67" s="8"/>
    </row>
    <row r="68" spans="1:42" ht="14.4" customHeight="1" x14ac:dyDescent="0.35">
      <c r="A68" s="8"/>
      <c r="B68" s="1700"/>
      <c r="C68" s="8"/>
      <c r="D68" s="907"/>
      <c r="E68" s="813"/>
      <c r="F68" s="1677" t="s">
        <v>751</v>
      </c>
      <c r="G68" s="1665"/>
      <c r="H68" s="1665"/>
      <c r="I68" s="1665"/>
      <c r="J68" s="1678"/>
      <c r="K68" s="1698" t="s">
        <v>750</v>
      </c>
      <c r="L68" s="1665"/>
      <c r="M68" s="1665"/>
      <c r="N68" s="1699"/>
      <c r="O68" s="915"/>
      <c r="P68" s="8"/>
      <c r="Q68" s="927"/>
      <c r="R68" s="928"/>
      <c r="S68" s="927"/>
      <c r="T68" s="927"/>
      <c r="U68" s="927"/>
      <c r="V68" s="8"/>
      <c r="W68" s="927"/>
      <c r="X68" s="927"/>
      <c r="Y68" s="927"/>
      <c r="Z68" s="927"/>
      <c r="AA68" s="927"/>
      <c r="AI68" s="275"/>
      <c r="AJ68" s="275"/>
      <c r="AK68" s="275"/>
      <c r="AL68" s="275"/>
      <c r="AM68" s="275"/>
      <c r="AN68" s="275"/>
      <c r="AO68" s="275"/>
      <c r="AP68" s="8"/>
    </row>
    <row r="69" spans="1:42" s="242" customFormat="1" ht="21" customHeight="1" x14ac:dyDescent="0.35">
      <c r="A69" s="352"/>
      <c r="B69" s="1700"/>
      <c r="C69" s="352"/>
      <c r="D69" s="933"/>
      <c r="E69" s="1021" t="s">
        <v>229</v>
      </c>
      <c r="F69" s="1022" t="s">
        <v>248</v>
      </c>
      <c r="G69" s="1022" t="s">
        <v>249</v>
      </c>
      <c r="H69" s="1022" t="s">
        <v>753</v>
      </c>
      <c r="I69" s="1679" t="s">
        <v>752</v>
      </c>
      <c r="J69" s="1679"/>
      <c r="K69" s="1022" t="s">
        <v>248</v>
      </c>
      <c r="L69" s="1022" t="s">
        <v>754</v>
      </c>
      <c r="M69" s="1022" t="s">
        <v>753</v>
      </c>
      <c r="N69" s="1023" t="s">
        <v>752</v>
      </c>
      <c r="O69" s="1024"/>
      <c r="P69" s="352"/>
      <c r="Q69" s="1025"/>
      <c r="R69" s="1026"/>
      <c r="S69" s="1025"/>
      <c r="T69" s="1025"/>
      <c r="U69" s="1025"/>
      <c r="V69" s="352"/>
      <c r="W69" s="927"/>
      <c r="X69" s="927"/>
      <c r="Y69" s="927"/>
      <c r="Z69" s="927"/>
      <c r="AA69" s="927"/>
      <c r="AB69" s="889"/>
      <c r="AC69" s="889"/>
      <c r="AD69" s="890"/>
      <c r="AE69" s="890"/>
      <c r="AF69" s="890"/>
      <c r="AG69" s="890"/>
      <c r="AH69" s="890"/>
      <c r="AI69" s="1027"/>
      <c r="AJ69" s="1027"/>
      <c r="AK69" s="1027"/>
      <c r="AL69" s="1027"/>
      <c r="AM69" s="1027"/>
      <c r="AN69" s="1027"/>
      <c r="AO69" s="1027"/>
      <c r="AP69" s="352"/>
    </row>
    <row r="70" spans="1:42" ht="14.4" customHeight="1" x14ac:dyDescent="0.3">
      <c r="A70" s="8"/>
      <c r="B70" s="1700"/>
      <c r="C70" s="8"/>
      <c r="D70" s="911"/>
      <c r="E70" s="1028" t="s">
        <v>230</v>
      </c>
      <c r="F70" s="1029">
        <f>IFERROR(((Indoor_Water_Use_Predicted_Annual_Total + Cooling_Tower_Water_Use_Total)/12)+Irrigation_LWR_Monthly,"")</f>
        <v>0</v>
      </c>
      <c r="G70" s="1030">
        <f t="shared" ref="G70:G81" si="4">IFERROR(F:F-(H:H+I:I),"")</f>
        <v>0</v>
      </c>
      <c r="H70" s="357"/>
      <c r="I70" s="1672"/>
      <c r="J70" s="1673"/>
      <c r="K70" s="1029">
        <f t="shared" ref="K70:K81" si="5">IFERROR(L:L+M:M+N:N,"")</f>
        <v>0</v>
      </c>
      <c r="L70" s="339"/>
      <c r="M70" s="339"/>
      <c r="N70" s="339"/>
      <c r="O70" s="1031"/>
      <c r="P70" s="8"/>
      <c r="Q70" s="927"/>
      <c r="R70" s="928"/>
      <c r="S70" s="927"/>
      <c r="T70" s="927"/>
      <c r="U70" s="927"/>
      <c r="V70" s="8"/>
      <c r="W70" s="927"/>
      <c r="X70" s="927"/>
      <c r="Y70" s="927"/>
      <c r="Z70" s="927"/>
      <c r="AA70" s="927"/>
      <c r="AI70" s="275"/>
      <c r="AJ70" s="275"/>
      <c r="AK70" s="275"/>
      <c r="AL70" s="275"/>
      <c r="AM70" s="275"/>
      <c r="AN70" s="275"/>
      <c r="AO70" s="275"/>
      <c r="AP70" s="8"/>
    </row>
    <row r="71" spans="1:42" ht="14.4" customHeight="1" x14ac:dyDescent="0.3">
      <c r="A71" s="8"/>
      <c r="B71" s="1700"/>
      <c r="C71" s="8"/>
      <c r="D71" s="911"/>
      <c r="E71" s="1032" t="s">
        <v>232</v>
      </c>
      <c r="F71" s="965">
        <f t="shared" ref="F71:F81" si="6">IFERROR(((Indoor_Water_Use_Predicted_Annual_Total + Cooling_Tower_Water_Use_Total)/12)+Irrigation_LWR_Monthly,"")</f>
        <v>0</v>
      </c>
      <c r="G71" s="1033">
        <f t="shared" si="4"/>
        <v>0</v>
      </c>
      <c r="H71" s="357"/>
      <c r="I71" s="1672"/>
      <c r="J71" s="1673"/>
      <c r="K71" s="965">
        <f t="shared" si="5"/>
        <v>0</v>
      </c>
      <c r="L71" s="339"/>
      <c r="M71" s="339"/>
      <c r="N71" s="339"/>
      <c r="O71" s="1031"/>
      <c r="P71" s="8"/>
      <c r="Q71" s="927"/>
      <c r="R71" s="928"/>
      <c r="S71" s="927"/>
      <c r="T71" s="927"/>
      <c r="U71" s="927"/>
      <c r="V71" s="8"/>
      <c r="W71" s="927"/>
      <c r="X71" s="927"/>
      <c r="Y71" s="927"/>
      <c r="Z71" s="927"/>
      <c r="AA71" s="927"/>
      <c r="AI71" s="275"/>
      <c r="AJ71" s="275"/>
      <c r="AK71" s="275"/>
      <c r="AL71" s="275"/>
      <c r="AM71" s="275"/>
      <c r="AN71" s="275"/>
      <c r="AO71" s="275"/>
      <c r="AP71" s="8"/>
    </row>
    <row r="72" spans="1:42" ht="14.4" customHeight="1" x14ac:dyDescent="0.3">
      <c r="A72" s="8"/>
      <c r="B72" s="1700"/>
      <c r="C72" s="8"/>
      <c r="D72" s="911"/>
      <c r="E72" s="1032" t="s">
        <v>234</v>
      </c>
      <c r="F72" s="965">
        <f t="shared" si="6"/>
        <v>0</v>
      </c>
      <c r="G72" s="1033">
        <f t="shared" si="4"/>
        <v>0</v>
      </c>
      <c r="H72" s="357"/>
      <c r="I72" s="1672"/>
      <c r="J72" s="1673"/>
      <c r="K72" s="965">
        <f t="shared" si="5"/>
        <v>0</v>
      </c>
      <c r="L72" s="339"/>
      <c r="M72" s="339"/>
      <c r="N72" s="339"/>
      <c r="O72" s="1031"/>
      <c r="P72" s="8"/>
      <c r="Q72" s="927"/>
      <c r="R72" s="928"/>
      <c r="S72" s="927"/>
      <c r="T72" s="927"/>
      <c r="U72" s="927"/>
      <c r="V72" s="8"/>
      <c r="W72" s="927"/>
      <c r="X72" s="927"/>
      <c r="Y72" s="927"/>
      <c r="Z72" s="927"/>
      <c r="AA72" s="927"/>
      <c r="AI72" s="275"/>
      <c r="AJ72" s="275"/>
      <c r="AK72" s="275"/>
      <c r="AL72" s="275"/>
      <c r="AM72" s="275"/>
      <c r="AN72" s="275"/>
      <c r="AO72" s="275"/>
      <c r="AP72" s="8"/>
    </row>
    <row r="73" spans="1:42" ht="14.4" customHeight="1" x14ac:dyDescent="0.3">
      <c r="A73" s="8"/>
      <c r="B73" s="1700"/>
      <c r="C73" s="8"/>
      <c r="D73" s="911"/>
      <c r="E73" s="1032" t="s">
        <v>236</v>
      </c>
      <c r="F73" s="965">
        <f t="shared" si="6"/>
        <v>0</v>
      </c>
      <c r="G73" s="1033">
        <f t="shared" si="4"/>
        <v>0</v>
      </c>
      <c r="H73" s="357"/>
      <c r="I73" s="1672"/>
      <c r="J73" s="1673"/>
      <c r="K73" s="965">
        <f t="shared" si="5"/>
        <v>0</v>
      </c>
      <c r="L73" s="339"/>
      <c r="M73" s="339"/>
      <c r="N73" s="339"/>
      <c r="O73" s="1031"/>
      <c r="P73" s="8"/>
      <c r="Q73" s="927"/>
      <c r="R73" s="928"/>
      <c r="S73" s="927"/>
      <c r="T73" s="927"/>
      <c r="U73" s="927"/>
      <c r="V73" s="8"/>
      <c r="W73" s="927"/>
      <c r="X73" s="927"/>
      <c r="Y73" s="927"/>
      <c r="Z73" s="927"/>
      <c r="AA73" s="927"/>
      <c r="AI73" s="275"/>
      <c r="AJ73" s="275"/>
      <c r="AK73" s="275"/>
      <c r="AL73" s="275"/>
      <c r="AM73" s="275"/>
      <c r="AN73" s="275"/>
      <c r="AO73" s="275"/>
      <c r="AP73" s="8"/>
    </row>
    <row r="74" spans="1:42" ht="14.4" customHeight="1" x14ac:dyDescent="0.3">
      <c r="A74" s="8"/>
      <c r="B74" s="1700"/>
      <c r="C74" s="8"/>
      <c r="D74" s="911"/>
      <c r="E74" s="1032" t="s">
        <v>237</v>
      </c>
      <c r="F74" s="965">
        <f t="shared" si="6"/>
        <v>0</v>
      </c>
      <c r="G74" s="1033">
        <f t="shared" si="4"/>
        <v>0</v>
      </c>
      <c r="H74" s="357"/>
      <c r="I74" s="1672"/>
      <c r="J74" s="1673"/>
      <c r="K74" s="965">
        <f t="shared" si="5"/>
        <v>0</v>
      </c>
      <c r="L74" s="339"/>
      <c r="M74" s="339"/>
      <c r="N74" s="339"/>
      <c r="O74" s="1031"/>
      <c r="P74" s="8"/>
      <c r="Q74" s="927"/>
      <c r="R74" s="928"/>
      <c r="S74" s="927"/>
      <c r="T74" s="927"/>
      <c r="U74" s="927"/>
      <c r="V74" s="8"/>
      <c r="W74" s="927"/>
      <c r="X74" s="927"/>
      <c r="Y74" s="927"/>
      <c r="Z74" s="927"/>
      <c r="AA74" s="927"/>
      <c r="AI74" s="275"/>
      <c r="AJ74" s="275"/>
      <c r="AK74" s="275"/>
      <c r="AL74" s="275"/>
      <c r="AM74" s="275"/>
      <c r="AN74" s="275"/>
      <c r="AO74" s="275"/>
      <c r="AP74" s="8"/>
    </row>
    <row r="75" spans="1:42" ht="14.4" customHeight="1" x14ac:dyDescent="0.3">
      <c r="A75" s="8"/>
      <c r="B75" s="1700"/>
      <c r="C75" s="8"/>
      <c r="D75" s="911"/>
      <c r="E75" s="1032" t="s">
        <v>238</v>
      </c>
      <c r="F75" s="965">
        <f t="shared" si="6"/>
        <v>0</v>
      </c>
      <c r="G75" s="1033">
        <f t="shared" si="4"/>
        <v>0</v>
      </c>
      <c r="H75" s="357"/>
      <c r="I75" s="1672"/>
      <c r="J75" s="1673"/>
      <c r="K75" s="965">
        <f t="shared" si="5"/>
        <v>0</v>
      </c>
      <c r="L75" s="339"/>
      <c r="M75" s="339"/>
      <c r="N75" s="339"/>
      <c r="O75" s="1031"/>
      <c r="P75" s="8"/>
      <c r="Q75" s="927"/>
      <c r="R75" s="928"/>
      <c r="S75" s="927"/>
      <c r="T75" s="927"/>
      <c r="U75" s="927"/>
      <c r="V75" s="8"/>
      <c r="W75" s="927"/>
      <c r="X75" s="927"/>
      <c r="Y75" s="927"/>
      <c r="Z75" s="927"/>
      <c r="AA75" s="927"/>
      <c r="AI75" s="275"/>
      <c r="AJ75" s="275"/>
      <c r="AK75" s="275"/>
      <c r="AL75" s="275"/>
      <c r="AM75" s="275"/>
      <c r="AN75" s="275"/>
      <c r="AO75" s="275"/>
      <c r="AP75" s="8"/>
    </row>
    <row r="76" spans="1:42" ht="14.4" customHeight="1" x14ac:dyDescent="0.3">
      <c r="A76" s="8"/>
      <c r="B76" s="1700"/>
      <c r="C76" s="8"/>
      <c r="D76" s="911"/>
      <c r="E76" s="1032" t="s">
        <v>239</v>
      </c>
      <c r="F76" s="965">
        <f t="shared" si="6"/>
        <v>0</v>
      </c>
      <c r="G76" s="1033">
        <f t="shared" si="4"/>
        <v>0</v>
      </c>
      <c r="H76" s="357"/>
      <c r="I76" s="1672"/>
      <c r="J76" s="1673"/>
      <c r="K76" s="965">
        <f t="shared" si="5"/>
        <v>0</v>
      </c>
      <c r="L76" s="339"/>
      <c r="M76" s="339"/>
      <c r="N76" s="339"/>
      <c r="O76" s="1031"/>
      <c r="P76" s="8"/>
      <c r="Q76" s="927"/>
      <c r="R76" s="928"/>
      <c r="S76" s="927"/>
      <c r="T76" s="927"/>
      <c r="U76" s="927"/>
      <c r="V76" s="8"/>
      <c r="W76" s="927"/>
      <c r="X76" s="927"/>
      <c r="Y76" s="927"/>
      <c r="Z76" s="927"/>
      <c r="AA76" s="927"/>
      <c r="AI76" s="275"/>
      <c r="AJ76" s="275"/>
      <c r="AK76" s="275"/>
      <c r="AL76" s="275"/>
      <c r="AM76" s="275"/>
      <c r="AN76" s="275"/>
      <c r="AO76" s="275"/>
      <c r="AP76" s="8"/>
    </row>
    <row r="77" spans="1:42" ht="14.4" customHeight="1" x14ac:dyDescent="0.3">
      <c r="A77" s="8"/>
      <c r="B77" s="1700"/>
      <c r="C77" s="8"/>
      <c r="D77" s="911"/>
      <c r="E77" s="1032" t="s">
        <v>240</v>
      </c>
      <c r="F77" s="965">
        <f t="shared" si="6"/>
        <v>0</v>
      </c>
      <c r="G77" s="1033">
        <f t="shared" si="4"/>
        <v>0</v>
      </c>
      <c r="H77" s="357"/>
      <c r="I77" s="1672"/>
      <c r="J77" s="1673"/>
      <c r="K77" s="965">
        <f t="shared" si="5"/>
        <v>0</v>
      </c>
      <c r="L77" s="339"/>
      <c r="M77" s="339"/>
      <c r="N77" s="339"/>
      <c r="O77" s="1031"/>
      <c r="P77" s="8"/>
      <c r="Q77" s="927"/>
      <c r="R77" s="928"/>
      <c r="S77" s="927"/>
      <c r="T77" s="927"/>
      <c r="U77" s="927"/>
      <c r="V77" s="8"/>
      <c r="W77" s="927"/>
      <c r="X77" s="927"/>
      <c r="Y77" s="927"/>
      <c r="Z77" s="927"/>
      <c r="AA77" s="927"/>
      <c r="AI77" s="275"/>
      <c r="AJ77" s="275"/>
      <c r="AK77" s="275"/>
      <c r="AL77" s="275"/>
      <c r="AM77" s="275"/>
      <c r="AN77" s="275"/>
      <c r="AO77" s="275"/>
      <c r="AP77" s="8"/>
    </row>
    <row r="78" spans="1:42" ht="14.4" customHeight="1" x14ac:dyDescent="0.3">
      <c r="A78" s="8"/>
      <c r="B78" s="1700"/>
      <c r="C78" s="8"/>
      <c r="D78" s="911"/>
      <c r="E78" s="1032" t="s">
        <v>241</v>
      </c>
      <c r="F78" s="965">
        <f t="shared" si="6"/>
        <v>0</v>
      </c>
      <c r="G78" s="1033">
        <f t="shared" si="4"/>
        <v>0</v>
      </c>
      <c r="H78" s="357"/>
      <c r="I78" s="1672"/>
      <c r="J78" s="1673"/>
      <c r="K78" s="965">
        <f t="shared" si="5"/>
        <v>0</v>
      </c>
      <c r="L78" s="339"/>
      <c r="M78" s="339"/>
      <c r="N78" s="339"/>
      <c r="O78" s="1031"/>
      <c r="P78" s="8"/>
      <c r="Q78" s="927"/>
      <c r="R78" s="928"/>
      <c r="S78" s="927"/>
      <c r="T78" s="927"/>
      <c r="U78" s="927"/>
      <c r="V78" s="8"/>
      <c r="W78" s="927"/>
      <c r="X78" s="927"/>
      <c r="Y78" s="927"/>
      <c r="Z78" s="927"/>
      <c r="AA78" s="927"/>
      <c r="AI78" s="275"/>
      <c r="AJ78" s="275"/>
      <c r="AK78" s="275"/>
      <c r="AL78" s="275"/>
      <c r="AM78" s="275"/>
      <c r="AN78" s="275"/>
      <c r="AO78" s="275"/>
      <c r="AP78" s="8"/>
    </row>
    <row r="79" spans="1:42" ht="14.4" customHeight="1" x14ac:dyDescent="0.3">
      <c r="A79" s="8"/>
      <c r="B79" s="1700"/>
      <c r="C79" s="8"/>
      <c r="D79" s="911"/>
      <c r="E79" s="1032" t="s">
        <v>242</v>
      </c>
      <c r="F79" s="965">
        <f t="shared" si="6"/>
        <v>0</v>
      </c>
      <c r="G79" s="1033">
        <f t="shared" si="4"/>
        <v>0</v>
      </c>
      <c r="H79" s="357"/>
      <c r="I79" s="1672"/>
      <c r="J79" s="1673"/>
      <c r="K79" s="965">
        <f t="shared" si="5"/>
        <v>0</v>
      </c>
      <c r="L79" s="339"/>
      <c r="M79" s="339"/>
      <c r="N79" s="339"/>
      <c r="O79" s="1031"/>
      <c r="P79" s="8"/>
      <c r="Q79" s="927"/>
      <c r="R79" s="928"/>
      <c r="S79" s="927"/>
      <c r="T79" s="927"/>
      <c r="U79" s="927"/>
      <c r="V79" s="8"/>
      <c r="W79" s="927"/>
      <c r="X79" s="927"/>
      <c r="Y79" s="927"/>
      <c r="Z79" s="927"/>
      <c r="AA79" s="927"/>
      <c r="AI79" s="275"/>
      <c r="AJ79" s="275"/>
      <c r="AK79" s="275"/>
      <c r="AL79" s="275"/>
      <c r="AM79" s="275"/>
      <c r="AN79" s="275"/>
      <c r="AO79" s="275"/>
      <c r="AP79" s="8"/>
    </row>
    <row r="80" spans="1:42" ht="14.4" customHeight="1" x14ac:dyDescent="0.3">
      <c r="A80" s="8"/>
      <c r="B80" s="1700"/>
      <c r="C80" s="8"/>
      <c r="D80" s="911"/>
      <c r="E80" s="1032" t="s">
        <v>243</v>
      </c>
      <c r="F80" s="965">
        <f t="shared" si="6"/>
        <v>0</v>
      </c>
      <c r="G80" s="1033">
        <f t="shared" si="4"/>
        <v>0</v>
      </c>
      <c r="H80" s="357"/>
      <c r="I80" s="1672"/>
      <c r="J80" s="1673"/>
      <c r="K80" s="965">
        <f t="shared" si="5"/>
        <v>0</v>
      </c>
      <c r="L80" s="339"/>
      <c r="M80" s="339"/>
      <c r="N80" s="339"/>
      <c r="O80" s="1031"/>
      <c r="P80" s="8"/>
      <c r="Q80" s="927"/>
      <c r="R80" s="928"/>
      <c r="S80" s="927"/>
      <c r="T80" s="927"/>
      <c r="U80" s="927"/>
      <c r="V80" s="8"/>
      <c r="W80" s="927"/>
      <c r="X80" s="927"/>
      <c r="Y80" s="927"/>
      <c r="Z80" s="927"/>
      <c r="AA80" s="927"/>
      <c r="AI80" s="275"/>
      <c r="AJ80" s="275"/>
      <c r="AK80" s="275"/>
      <c r="AL80" s="275"/>
      <c r="AM80" s="275"/>
      <c r="AN80" s="275"/>
      <c r="AO80" s="275"/>
      <c r="AP80" s="8"/>
    </row>
    <row r="81" spans="1:42" ht="14.4" customHeight="1" x14ac:dyDescent="0.3">
      <c r="A81" s="8"/>
      <c r="B81" s="1700"/>
      <c r="C81" s="8"/>
      <c r="D81" s="911"/>
      <c r="E81" s="1034" t="s">
        <v>244</v>
      </c>
      <c r="F81" s="965">
        <f t="shared" si="6"/>
        <v>0</v>
      </c>
      <c r="G81" s="1035">
        <f t="shared" si="4"/>
        <v>0</v>
      </c>
      <c r="H81" s="357"/>
      <c r="I81" s="1672"/>
      <c r="J81" s="1673"/>
      <c r="K81" s="965">
        <f t="shared" si="5"/>
        <v>0</v>
      </c>
      <c r="L81" s="339"/>
      <c r="M81" s="339"/>
      <c r="N81" s="339"/>
      <c r="O81" s="1031"/>
      <c r="P81" s="8"/>
      <c r="Q81" s="927"/>
      <c r="R81" s="928"/>
      <c r="S81" s="927"/>
      <c r="T81" s="927"/>
      <c r="U81" s="927"/>
      <c r="V81" s="8"/>
      <c r="W81" s="927"/>
      <c r="X81" s="927"/>
      <c r="Y81" s="927"/>
      <c r="Z81" s="927"/>
      <c r="AA81" s="927"/>
      <c r="AI81" s="275"/>
      <c r="AJ81" s="275"/>
      <c r="AK81" s="275"/>
      <c r="AL81" s="275"/>
      <c r="AM81" s="275"/>
      <c r="AN81" s="275"/>
      <c r="AO81" s="275"/>
      <c r="AP81" s="8"/>
    </row>
    <row r="82" spans="1:42" ht="14.4" customHeight="1" thickBot="1" x14ac:dyDescent="0.4">
      <c r="A82" s="8"/>
      <c r="B82" s="1700"/>
      <c r="C82" s="8"/>
      <c r="D82" s="911"/>
      <c r="E82" s="344" t="s">
        <v>748</v>
      </c>
      <c r="F82" s="908">
        <f>SUM(F70:F81)</f>
        <v>0</v>
      </c>
      <c r="G82" s="986">
        <f>SUM(G70:G81)</f>
        <v>0</v>
      </c>
      <c r="H82" s="986">
        <f>SUM(H70:H81)</f>
        <v>0</v>
      </c>
      <c r="I82" s="1674">
        <f>SUM(I70:J81)</f>
        <v>0</v>
      </c>
      <c r="J82" s="1674"/>
      <c r="K82" s="908">
        <f>SUM(K70:K81)</f>
        <v>0</v>
      </c>
      <c r="L82" s="908">
        <f>SUM(L70:L81)</f>
        <v>0</v>
      </c>
      <c r="M82" s="986">
        <f>SUM(M70:M81)</f>
        <v>0</v>
      </c>
      <c r="N82" s="986">
        <f>SUM(N70:N81)</f>
        <v>0</v>
      </c>
      <c r="O82" s="1031"/>
      <c r="P82" s="8"/>
      <c r="Q82" s="927"/>
      <c r="R82" s="928"/>
      <c r="S82" s="927"/>
      <c r="T82" s="927"/>
      <c r="U82" s="927"/>
      <c r="V82" s="8"/>
      <c r="W82" s="927"/>
      <c r="X82" s="927"/>
      <c r="Y82" s="927"/>
      <c r="Z82" s="927"/>
      <c r="AA82" s="927"/>
      <c r="AI82" s="275"/>
      <c r="AJ82" s="275"/>
      <c r="AK82" s="275"/>
      <c r="AL82" s="275"/>
      <c r="AM82" s="275"/>
      <c r="AN82" s="275"/>
      <c r="AO82" s="275"/>
      <c r="AP82" s="8"/>
    </row>
    <row r="83" spans="1:42" ht="14.4" customHeight="1" thickBot="1" x14ac:dyDescent="0.4">
      <c r="A83" s="8"/>
      <c r="B83" s="1700"/>
      <c r="C83" s="8"/>
      <c r="D83" s="911"/>
      <c r="E83" s="816" t="s">
        <v>749</v>
      </c>
      <c r="F83" s="1036"/>
      <c r="G83" s="346">
        <f>IFERROR(Water_Potable_Annual_Total_Predicted/Water_Demand_Annual_Total_Predicted,0)</f>
        <v>0</v>
      </c>
      <c r="H83" s="1036" t="str">
        <f>IFERROR(Water_Rain_Annual_Total_Predicted/Water_Demand_Annual_Total_Predicted,"")</f>
        <v/>
      </c>
      <c r="I83" s="1697" t="str">
        <f>IFERROR(Water_Reclaimed_Annual_Total_Predicted/Water_Demand_Annual_Total_Predicted,"")</f>
        <v/>
      </c>
      <c r="J83" s="1697"/>
      <c r="K83" s="1036"/>
      <c r="L83" s="346">
        <f>IFERROR(Water_Potable_Annual_Total_Measured/Water_Demand_Annual_Total_Measured,0)</f>
        <v>0</v>
      </c>
      <c r="M83" s="1036" t="str">
        <f>IFERROR(Water_Rain_Annual_Total_Measured/Water_Demand_Annual_Total_Measured,"")</f>
        <v/>
      </c>
      <c r="N83" s="1036" t="str">
        <f>IFERROR(Water_Reclaimed_Annual_Total_Measured/Water_Demand_Annual_Total_Measured,"")</f>
        <v/>
      </c>
      <c r="O83" s="813"/>
      <c r="P83" s="8"/>
      <c r="Q83" s="927"/>
      <c r="R83" s="928"/>
      <c r="S83" s="927"/>
      <c r="T83" s="927"/>
      <c r="U83" s="927"/>
      <c r="V83" s="8"/>
      <c r="W83" s="927"/>
      <c r="X83" s="927"/>
      <c r="Y83" s="927"/>
      <c r="Z83" s="927"/>
      <c r="AA83" s="927"/>
      <c r="AI83" s="275"/>
      <c r="AJ83" s="275"/>
      <c r="AK83" s="275"/>
      <c r="AL83" s="275"/>
      <c r="AM83" s="275"/>
      <c r="AN83" s="275"/>
      <c r="AO83" s="275"/>
      <c r="AP83" s="8"/>
    </row>
    <row r="84" spans="1:42" ht="14.4" customHeight="1" x14ac:dyDescent="0.35">
      <c r="A84" s="8"/>
      <c r="B84" s="1700"/>
      <c r="C84" s="8"/>
      <c r="D84" s="946"/>
      <c r="E84" s="947"/>
      <c r="F84" s="947"/>
      <c r="G84" s="947"/>
      <c r="H84" s="947"/>
      <c r="I84" s="947"/>
      <c r="J84" s="947"/>
      <c r="K84" s="947"/>
      <c r="L84" s="947"/>
      <c r="M84" s="947"/>
      <c r="N84" s="947"/>
      <c r="O84" s="841"/>
      <c r="P84" s="8"/>
      <c r="Q84" s="927"/>
      <c r="R84" s="928"/>
      <c r="S84" s="927"/>
      <c r="T84" s="927"/>
      <c r="U84" s="927"/>
      <c r="V84" s="8"/>
      <c r="W84" s="927"/>
      <c r="X84" s="927"/>
      <c r="Y84" s="927"/>
      <c r="Z84" s="927"/>
      <c r="AA84" s="927"/>
      <c r="AI84" s="275"/>
      <c r="AJ84" s="275"/>
      <c r="AK84" s="275"/>
      <c r="AL84" s="275"/>
      <c r="AM84" s="275"/>
      <c r="AN84" s="275"/>
      <c r="AO84" s="275"/>
      <c r="AP84" s="8"/>
    </row>
    <row r="85" spans="1:42" ht="14.4" customHeight="1" x14ac:dyDescent="0.35">
      <c r="A85" s="8"/>
      <c r="B85" s="892"/>
      <c r="C85" s="8"/>
      <c r="D85" s="8"/>
      <c r="E85" s="8"/>
      <c r="F85" s="8"/>
      <c r="G85" s="8"/>
      <c r="H85" s="8"/>
      <c r="I85" s="8"/>
      <c r="J85" s="8"/>
      <c r="K85" s="8"/>
      <c r="L85" s="8"/>
      <c r="M85" s="8"/>
      <c r="N85" s="8"/>
      <c r="O85" s="8"/>
      <c r="P85" s="8"/>
      <c r="Q85" s="8"/>
      <c r="R85" s="64"/>
      <c r="S85" s="8"/>
      <c r="T85" s="8"/>
      <c r="U85" s="8"/>
      <c r="V85" s="8"/>
      <c r="W85" s="8"/>
      <c r="X85" s="8"/>
      <c r="Y85" s="8"/>
      <c r="Z85" s="8"/>
      <c r="AA85" s="8"/>
      <c r="AI85" s="275"/>
      <c r="AJ85" s="275"/>
      <c r="AK85" s="275"/>
      <c r="AL85" s="275"/>
      <c r="AM85" s="275"/>
      <c r="AN85" s="275"/>
      <c r="AO85" s="275"/>
      <c r="AP85" s="8"/>
    </row>
    <row r="86" spans="1:42" ht="14.4" customHeight="1" x14ac:dyDescent="0.35">
      <c r="A86" s="8"/>
      <c r="B86" s="1622" t="s">
        <v>253</v>
      </c>
      <c r="C86" s="8"/>
      <c r="D86" s="1636" t="s">
        <v>968</v>
      </c>
      <c r="E86" s="1637"/>
      <c r="F86" s="1637"/>
      <c r="G86" s="1637"/>
      <c r="H86" s="1637"/>
      <c r="I86" s="1637"/>
      <c r="J86" s="1637"/>
      <c r="K86" s="1637"/>
      <c r="L86" s="1637"/>
      <c r="M86" s="1637"/>
      <c r="N86" s="1637"/>
      <c r="O86" s="1638"/>
      <c r="P86" s="8"/>
      <c r="Q86" s="948"/>
      <c r="R86" s="154"/>
      <c r="S86" s="948"/>
      <c r="T86" s="948"/>
      <c r="U86" s="948"/>
      <c r="V86" s="8"/>
      <c r="W86" s="948"/>
      <c r="X86" s="948"/>
      <c r="Y86" s="948"/>
      <c r="Z86" s="948"/>
      <c r="AA86" s="948"/>
      <c r="AI86" s="275"/>
      <c r="AJ86" s="275"/>
      <c r="AK86" s="275"/>
      <c r="AL86" s="275"/>
      <c r="AM86" s="275"/>
      <c r="AN86" s="275"/>
      <c r="AO86" s="275"/>
      <c r="AP86" s="8"/>
    </row>
    <row r="87" spans="1:42" ht="14.4" customHeight="1" x14ac:dyDescent="0.35">
      <c r="A87" s="8"/>
      <c r="B87" s="1622"/>
      <c r="C87" s="8"/>
      <c r="D87" s="905"/>
      <c r="E87" s="906"/>
      <c r="F87" s="906"/>
      <c r="G87" s="906"/>
      <c r="H87" s="925"/>
      <c r="I87" s="925"/>
      <c r="J87" s="925"/>
      <c r="K87" s="925"/>
      <c r="L87" s="906"/>
      <c r="M87" s="906"/>
      <c r="N87" s="906"/>
      <c r="O87" s="823"/>
      <c r="P87" s="8"/>
      <c r="Q87" s="927"/>
      <c r="R87" s="903"/>
      <c r="S87" s="902"/>
      <c r="T87" s="902"/>
      <c r="U87" s="902"/>
      <c r="V87" s="8"/>
      <c r="W87" s="927"/>
      <c r="X87" s="927"/>
      <c r="Y87" s="927"/>
      <c r="Z87" s="927"/>
      <c r="AA87" s="927"/>
      <c r="AJ87" s="275"/>
      <c r="AK87" s="275"/>
      <c r="AL87" s="275"/>
      <c r="AM87" s="275"/>
      <c r="AN87" s="275"/>
      <c r="AO87" s="275"/>
      <c r="AP87" s="8"/>
    </row>
    <row r="88" spans="1:42" ht="14.4" customHeight="1" x14ac:dyDescent="0.35">
      <c r="B88" s="1622"/>
      <c r="C88" s="8"/>
      <c r="D88" s="907"/>
      <c r="E88" s="925"/>
      <c r="F88" s="1709" t="s">
        <v>759</v>
      </c>
      <c r="G88" s="1709"/>
      <c r="H88" s="1709"/>
      <c r="I88" s="993"/>
      <c r="J88" s="925"/>
      <c r="K88" s="925"/>
      <c r="L88" s="925"/>
      <c r="M88" s="978"/>
      <c r="N88" s="11"/>
      <c r="O88" s="813"/>
      <c r="P88" s="8"/>
      <c r="Q88" s="902"/>
      <c r="R88" s="903"/>
      <c r="S88" s="902"/>
      <c r="T88" s="902"/>
      <c r="U88" s="902"/>
      <c r="V88" s="8"/>
      <c r="W88" s="927"/>
      <c r="X88" s="927"/>
      <c r="Y88" s="927"/>
      <c r="Z88" s="927"/>
      <c r="AA88" s="927"/>
      <c r="AJ88" s="275"/>
      <c r="AK88" s="275"/>
      <c r="AL88" s="275"/>
      <c r="AM88" s="275"/>
      <c r="AN88" s="275"/>
      <c r="AO88" s="275"/>
      <c r="AP88" s="8"/>
    </row>
    <row r="89" spans="1:42" ht="14.4" customHeight="1" x14ac:dyDescent="0.35">
      <c r="A89" s="8"/>
      <c r="B89" s="1622"/>
      <c r="C89" s="8"/>
      <c r="D89" s="907"/>
      <c r="E89" s="11"/>
      <c r="F89" s="978" t="s">
        <v>760</v>
      </c>
      <c r="G89" s="978" t="s">
        <v>761</v>
      </c>
      <c r="H89" s="978" t="s">
        <v>191</v>
      </c>
      <c r="I89" s="925"/>
      <c r="J89" s="925"/>
      <c r="K89" s="925"/>
      <c r="L89" s="925"/>
      <c r="M89" s="939"/>
      <c r="N89" s="978"/>
      <c r="O89" s="813"/>
      <c r="P89" s="8"/>
      <c r="Q89" s="902"/>
      <c r="R89" s="903"/>
      <c r="S89" s="902"/>
      <c r="T89" s="902"/>
      <c r="U89" s="902"/>
      <c r="V89" s="8"/>
      <c r="W89" s="927"/>
      <c r="X89" s="927"/>
      <c r="Y89" s="927"/>
      <c r="Z89" s="927"/>
      <c r="AA89" s="927"/>
      <c r="AJ89" s="275"/>
      <c r="AK89" s="275"/>
      <c r="AL89" s="275"/>
      <c r="AM89" s="275"/>
      <c r="AN89" s="275"/>
      <c r="AO89" s="275"/>
      <c r="AP89" s="8"/>
    </row>
    <row r="90" spans="1:42" ht="14.4" customHeight="1" thickBot="1" x14ac:dyDescent="0.4">
      <c r="A90" s="8"/>
      <c r="B90" s="1622"/>
      <c r="C90" s="8"/>
      <c r="D90" s="907"/>
      <c r="E90" s="11"/>
      <c r="F90" s="12" t="s">
        <v>765</v>
      </c>
      <c r="G90" s="819" t="s">
        <v>762</v>
      </c>
      <c r="H90" s="12" t="s">
        <v>763</v>
      </c>
      <c r="I90" s="925"/>
      <c r="J90" s="816"/>
      <c r="K90" s="926" t="s">
        <v>1167</v>
      </c>
      <c r="L90" s="925"/>
      <c r="M90" s="925"/>
      <c r="N90" s="978"/>
      <c r="O90" s="813"/>
      <c r="P90" s="8"/>
      <c r="Q90" s="902"/>
      <c r="R90" s="903"/>
      <c r="S90" s="902"/>
      <c r="T90" s="902"/>
      <c r="U90" s="902"/>
      <c r="V90" s="8"/>
      <c r="W90" s="927"/>
      <c r="X90" s="927"/>
      <c r="Y90" s="927"/>
      <c r="Z90" s="927"/>
      <c r="AA90" s="927"/>
      <c r="AJ90" s="275"/>
      <c r="AK90" s="275"/>
      <c r="AL90" s="275"/>
      <c r="AM90" s="275"/>
      <c r="AN90" s="275"/>
      <c r="AO90" s="275"/>
      <c r="AP90" s="8"/>
    </row>
    <row r="91" spans="1:42" ht="14.4" customHeight="1" thickBot="1" x14ac:dyDescent="0.35">
      <c r="A91" s="8"/>
      <c r="B91" s="1622"/>
      <c r="C91" s="8"/>
      <c r="D91" s="907"/>
      <c r="E91" s="816" t="s">
        <v>254</v>
      </c>
      <c r="F91" s="1037">
        <f ca="1">Water_Use_Total_Benchmark</f>
        <v>0</v>
      </c>
      <c r="G91" s="1037" t="str">
        <f ca="1">Water_Use_Per_Occupant_Benchmark</f>
        <v/>
      </c>
      <c r="H91" s="1038">
        <f ca="1">Water_Use_Intensity_Benchmark</f>
        <v>0</v>
      </c>
      <c r="I91" s="971"/>
      <c r="J91" s="925"/>
      <c r="K91" s="926" t="s">
        <v>1168</v>
      </c>
      <c r="L91" s="925"/>
      <c r="M91" s="925"/>
      <c r="N91" s="340"/>
      <c r="O91" s="813"/>
      <c r="P91" s="8"/>
      <c r="Q91" s="902"/>
      <c r="R91" s="903"/>
      <c r="S91" s="902"/>
      <c r="T91" s="902"/>
      <c r="U91" s="902"/>
      <c r="V91" s="8"/>
      <c r="W91" s="927"/>
      <c r="X91" s="927"/>
      <c r="Y91" s="927"/>
      <c r="Z91" s="927"/>
      <c r="AA91" s="927"/>
      <c r="AJ91" s="275"/>
      <c r="AK91" s="275"/>
      <c r="AL91" s="275"/>
      <c r="AM91" s="275"/>
      <c r="AN91" s="275"/>
      <c r="AO91" s="275"/>
      <c r="AP91" s="8"/>
    </row>
    <row r="92" spans="1:42" ht="14.4" customHeight="1" thickBot="1" x14ac:dyDescent="0.35">
      <c r="A92" s="8"/>
      <c r="B92" s="1622"/>
      <c r="C92" s="8"/>
      <c r="D92" s="907"/>
      <c r="E92" s="816" t="s">
        <v>251</v>
      </c>
      <c r="F92" s="674">
        <f>Water_Potable_Annual_Total_Predicted</f>
        <v>0</v>
      </c>
      <c r="G92" s="674" t="str">
        <f>IFERROR(Water_Potable_Annual_Total_Predicted/Occupancy_Daily_Avg,"")</f>
        <v/>
      </c>
      <c r="H92" s="1038">
        <f>IFERROR(Water_Potable_Annual_Total_Predicted/Area_Building,0)</f>
        <v>0</v>
      </c>
      <c r="I92" s="925"/>
      <c r="J92" s="816" t="s">
        <v>764</v>
      </c>
      <c r="K92" s="346">
        <f>IF(Water_Potable_Annual_Total_Predicted=0,0,(1-(Water_Potable_Annual_Total_Predicted/Water_Use_Total_Benchmark)))</f>
        <v>0</v>
      </c>
      <c r="L92" s="925"/>
      <c r="M92" s="925"/>
      <c r="N92" s="312"/>
      <c r="O92" s="813"/>
      <c r="P92" s="8"/>
      <c r="Q92" s="1720" t="s">
        <v>945</v>
      </c>
      <c r="R92" s="1720"/>
      <c r="S92" s="1720"/>
      <c r="T92" s="1720"/>
      <c r="U92" s="1720"/>
      <c r="V92" s="8"/>
      <c r="W92" s="927"/>
      <c r="X92" s="927"/>
      <c r="Y92" s="927"/>
      <c r="Z92" s="927"/>
      <c r="AA92" s="927"/>
      <c r="AI92" s="275"/>
      <c r="AJ92" s="275"/>
      <c r="AK92" s="275"/>
      <c r="AL92" s="275"/>
      <c r="AM92" s="275"/>
      <c r="AN92" s="275"/>
      <c r="AO92" s="275"/>
      <c r="AP92" s="8"/>
    </row>
    <row r="93" spans="1:42" ht="14.4" customHeight="1" thickBot="1" x14ac:dyDescent="0.35">
      <c r="A93" s="8"/>
      <c r="B93" s="1622"/>
      <c r="C93" s="8"/>
      <c r="D93" s="907"/>
      <c r="E93" s="816" t="s">
        <v>252</v>
      </c>
      <c r="F93" s="832">
        <f>Water_Potable_Annual_Total_Measured</f>
        <v>0</v>
      </c>
      <c r="G93" s="832" t="str">
        <f>IFERROR(Water_Potable_Annual_Total_Measured/Occupancy_Daily_Avg, "")</f>
        <v/>
      </c>
      <c r="H93" s="1038">
        <f>IFERROR(Water_Potable_Annual_Total_Measured/Area_Building,0)</f>
        <v>0</v>
      </c>
      <c r="I93" s="971"/>
      <c r="J93" s="816" t="s">
        <v>252</v>
      </c>
      <c r="K93" s="346">
        <f>IF(Water_Potable_Annual_Total_Measured=0,0,(1-(Water_Potable_Annual_Total_Measured/Water_Use_Total_Benchmark)))</f>
        <v>0</v>
      </c>
      <c r="L93" s="925"/>
      <c r="M93" s="925"/>
      <c r="N93" s="11"/>
      <c r="O93" s="813"/>
      <c r="P93" s="8"/>
      <c r="Q93" s="1720"/>
      <c r="R93" s="1720"/>
      <c r="S93" s="1720"/>
      <c r="T93" s="1720"/>
      <c r="U93" s="1720"/>
      <c r="V93" s="8"/>
      <c r="W93" s="927"/>
      <c r="X93" s="927"/>
      <c r="Y93" s="927"/>
      <c r="Z93" s="927"/>
      <c r="AA93" s="927"/>
      <c r="AI93" s="275"/>
      <c r="AJ93" s="275"/>
      <c r="AK93" s="275"/>
      <c r="AL93" s="275"/>
      <c r="AM93" s="275"/>
      <c r="AN93" s="275"/>
      <c r="AO93" s="275"/>
      <c r="AP93" s="8"/>
    </row>
    <row r="94" spans="1:42" ht="14.4" customHeight="1" x14ac:dyDescent="0.35">
      <c r="A94" s="8"/>
      <c r="B94" s="1622"/>
      <c r="C94" s="8"/>
      <c r="D94" s="946"/>
      <c r="E94" s="1039"/>
      <c r="F94" s="1039"/>
      <c r="G94" s="1039"/>
      <c r="H94" s="947"/>
      <c r="I94" s="947"/>
      <c r="J94" s="947"/>
      <c r="K94" s="947"/>
      <c r="L94" s="947"/>
      <c r="M94" s="947"/>
      <c r="N94" s="947"/>
      <c r="O94" s="841"/>
      <c r="P94" s="8"/>
      <c r="Q94" s="902"/>
      <c r="R94" s="903"/>
      <c r="S94" s="902"/>
      <c r="T94" s="902"/>
      <c r="U94" s="902"/>
      <c r="V94" s="8"/>
      <c r="W94" s="927"/>
      <c r="X94" s="927"/>
      <c r="Y94" s="927"/>
      <c r="Z94" s="927"/>
      <c r="AA94" s="927"/>
      <c r="AI94" s="275"/>
      <c r="AJ94" s="275"/>
      <c r="AK94" s="275"/>
      <c r="AL94" s="275"/>
      <c r="AM94" s="275"/>
      <c r="AN94" s="275"/>
      <c r="AO94" s="275"/>
      <c r="AP94" s="8"/>
    </row>
    <row r="95" spans="1:42" ht="14.4" customHeight="1" x14ac:dyDescent="0.35">
      <c r="A95" s="8"/>
      <c r="B95" s="892"/>
      <c r="C95" s="8"/>
      <c r="D95" s="8"/>
      <c r="E95" s="8"/>
      <c r="F95" s="8"/>
      <c r="G95" s="8"/>
      <c r="H95" s="8"/>
      <c r="I95" s="8"/>
      <c r="J95" s="8"/>
      <c r="K95" s="8"/>
      <c r="L95" s="8"/>
      <c r="M95" s="8"/>
      <c r="N95" s="8"/>
      <c r="O95" s="8"/>
      <c r="P95" s="8"/>
      <c r="Q95" s="1040"/>
      <c r="R95" s="1041"/>
      <c r="S95" s="1040"/>
      <c r="T95" s="1040"/>
      <c r="U95" s="1040"/>
      <c r="V95" s="8"/>
      <c r="W95" s="8"/>
      <c r="X95" s="8"/>
      <c r="Y95" s="8"/>
      <c r="Z95" s="8"/>
      <c r="AA95" s="8"/>
      <c r="AI95" s="275"/>
      <c r="AJ95" s="275"/>
      <c r="AK95" s="275"/>
      <c r="AL95" s="275"/>
      <c r="AM95" s="275"/>
      <c r="AN95" s="275"/>
      <c r="AO95" s="275"/>
      <c r="AP95" s="8"/>
    </row>
    <row r="96" spans="1:42" ht="14.4" customHeight="1" x14ac:dyDescent="0.35">
      <c r="A96" s="8"/>
      <c r="B96" s="1622" t="s">
        <v>255</v>
      </c>
      <c r="C96" s="8"/>
      <c r="D96" s="1636" t="s">
        <v>969</v>
      </c>
      <c r="E96" s="1637"/>
      <c r="F96" s="1637"/>
      <c r="G96" s="1637"/>
      <c r="H96" s="1637"/>
      <c r="I96" s="1637"/>
      <c r="J96" s="1637"/>
      <c r="K96" s="1637"/>
      <c r="L96" s="1637"/>
      <c r="M96" s="1637"/>
      <c r="N96" s="1637"/>
      <c r="O96" s="1638"/>
      <c r="P96" s="8"/>
      <c r="Q96" s="944"/>
      <c r="R96" s="969"/>
      <c r="S96" s="944"/>
      <c r="T96" s="944"/>
      <c r="U96" s="944"/>
      <c r="V96" s="8"/>
      <c r="W96" s="927"/>
      <c r="X96" s="927"/>
      <c r="Y96" s="927"/>
      <c r="Z96" s="927"/>
      <c r="AA96" s="927"/>
      <c r="AI96" s="275"/>
      <c r="AJ96" s="275"/>
      <c r="AK96" s="275"/>
      <c r="AL96" s="275"/>
      <c r="AM96" s="275"/>
      <c r="AN96" s="275"/>
      <c r="AO96" s="275"/>
      <c r="AP96" s="8"/>
    </row>
    <row r="97" spans="1:42" ht="14.4" customHeight="1" x14ac:dyDescent="0.35">
      <c r="A97" s="8"/>
      <c r="B97" s="1700"/>
      <c r="C97" s="8"/>
      <c r="D97" s="1042"/>
      <c r="E97" s="951"/>
      <c r="F97" s="951"/>
      <c r="G97" s="951"/>
      <c r="H97" s="951"/>
      <c r="I97" s="951"/>
      <c r="J97" s="951"/>
      <c r="K97" s="951"/>
      <c r="L97" s="951"/>
      <c r="M97" s="951"/>
      <c r="N97" s="951"/>
      <c r="O97" s="952"/>
      <c r="P97" s="8"/>
      <c r="Q97" s="902" t="s">
        <v>256</v>
      </c>
      <c r="R97" s="135"/>
      <c r="S97" s="927"/>
      <c r="T97" s="927"/>
      <c r="U97" s="927"/>
      <c r="V97" s="8"/>
      <c r="W97" s="902" t="s">
        <v>260</v>
      </c>
      <c r="X97" s="927"/>
      <c r="Y97" s="927"/>
      <c r="Z97" s="927"/>
      <c r="AA97" s="927"/>
      <c r="AI97" s="275"/>
      <c r="AJ97" s="275"/>
      <c r="AK97" s="275"/>
      <c r="AL97" s="275"/>
      <c r="AM97" s="275"/>
      <c r="AN97" s="275"/>
      <c r="AO97" s="275"/>
      <c r="AP97" s="8"/>
    </row>
    <row r="98" spans="1:42" ht="14.4" customHeight="1" x14ac:dyDescent="0.35">
      <c r="A98" s="8"/>
      <c r="B98" s="1700"/>
      <c r="C98" s="8"/>
      <c r="D98" s="1043"/>
      <c r="E98" s="1706" t="s">
        <v>261</v>
      </c>
      <c r="F98" s="1706"/>
      <c r="G98" s="1707"/>
      <c r="H98" s="5"/>
      <c r="I98" s="1003" t="s">
        <v>687</v>
      </c>
      <c r="J98" s="956"/>
      <c r="K98" s="956"/>
      <c r="L98" s="956"/>
      <c r="M98" s="956"/>
      <c r="N98" s="956"/>
      <c r="O98" s="957"/>
      <c r="P98" s="8"/>
      <c r="Q98" s="973" t="s">
        <v>10</v>
      </c>
      <c r="R98" s="910" t="s">
        <v>257</v>
      </c>
      <c r="S98" s="1045" t="s">
        <v>258</v>
      </c>
      <c r="T98" s="1046"/>
      <c r="U98" s="910" t="s">
        <v>259</v>
      </c>
      <c r="V98" s="8"/>
      <c r="W98" s="902"/>
      <c r="X98" s="927"/>
      <c r="Y98" s="927"/>
      <c r="Z98" s="927"/>
      <c r="AA98" s="927"/>
      <c r="AI98" s="275"/>
      <c r="AJ98" s="275"/>
      <c r="AK98" s="275"/>
      <c r="AL98" s="275"/>
      <c r="AM98" s="275"/>
      <c r="AN98" s="275"/>
      <c r="AO98" s="275"/>
      <c r="AP98" s="8"/>
    </row>
    <row r="99" spans="1:42" ht="14.4" customHeight="1" x14ac:dyDescent="0.35">
      <c r="A99" s="8"/>
      <c r="B99" s="1700"/>
      <c r="C99" s="8"/>
      <c r="D99" s="1047"/>
      <c r="E99" s="1706" t="s">
        <v>262</v>
      </c>
      <c r="F99" s="1706"/>
      <c r="G99" s="1707"/>
      <c r="H99" s="5"/>
      <c r="I99" s="1006" t="s">
        <v>263</v>
      </c>
      <c r="J99" s="925"/>
      <c r="K99" s="956"/>
      <c r="L99" s="956"/>
      <c r="M99" s="956"/>
      <c r="N99" s="956"/>
      <c r="O99" s="957"/>
      <c r="P99" s="8"/>
      <c r="Q99" s="945" t="s">
        <v>264</v>
      </c>
      <c r="R99" s="928">
        <v>3.6</v>
      </c>
      <c r="S99" s="927" t="s">
        <v>265</v>
      </c>
      <c r="T99" s="944"/>
      <c r="U99" s="928" t="s">
        <v>266</v>
      </c>
      <c r="V99" s="8"/>
      <c r="W99" s="1716" t="s">
        <v>902</v>
      </c>
      <c r="X99" s="1716"/>
      <c r="Y99" s="1716"/>
      <c r="Z99" s="1716"/>
      <c r="AA99" s="927"/>
      <c r="AI99" s="275"/>
      <c r="AJ99" s="275"/>
      <c r="AK99" s="275"/>
      <c r="AL99" s="275"/>
      <c r="AM99" s="275"/>
      <c r="AN99" s="275"/>
      <c r="AO99" s="275"/>
      <c r="AP99" s="8"/>
    </row>
    <row r="100" spans="1:42" ht="14.4" customHeight="1" x14ac:dyDescent="0.35">
      <c r="A100" s="8"/>
      <c r="B100" s="1700"/>
      <c r="C100" s="8"/>
      <c r="D100" s="1047"/>
      <c r="E100" s="1706" t="s">
        <v>267</v>
      </c>
      <c r="F100" s="1706"/>
      <c r="G100" s="1706"/>
      <c r="H100" s="1048">
        <f>99:99/12</f>
        <v>0</v>
      </c>
      <c r="I100" s="1006" t="s">
        <v>268</v>
      </c>
      <c r="J100" s="925"/>
      <c r="K100" s="956"/>
      <c r="L100" s="956"/>
      <c r="M100" s="956"/>
      <c r="N100" s="956"/>
      <c r="O100" s="957"/>
      <c r="P100" s="8"/>
      <c r="Q100" s="945" t="s">
        <v>269</v>
      </c>
      <c r="R100" s="928">
        <v>2.4</v>
      </c>
      <c r="S100" s="927" t="s">
        <v>270</v>
      </c>
      <c r="T100" s="944"/>
      <c r="U100" s="928" t="s">
        <v>271</v>
      </c>
      <c r="V100" s="8"/>
      <c r="W100" s="1715" t="s">
        <v>903</v>
      </c>
      <c r="X100" s="1715"/>
      <c r="Y100" s="1715"/>
      <c r="Z100" s="1715"/>
      <c r="AA100" s="1715"/>
      <c r="AI100" s="275"/>
      <c r="AJ100" s="275"/>
      <c r="AK100" s="275"/>
      <c r="AL100" s="275"/>
      <c r="AM100" s="275"/>
      <c r="AN100" s="275"/>
      <c r="AO100" s="275"/>
      <c r="AP100" s="8"/>
    </row>
    <row r="101" spans="1:42" ht="14.4" customHeight="1" x14ac:dyDescent="0.35">
      <c r="A101" s="8"/>
      <c r="B101" s="1700"/>
      <c r="C101" s="8"/>
      <c r="D101" s="1047"/>
      <c r="E101" s="1706" t="s">
        <v>695</v>
      </c>
      <c r="F101" s="1706"/>
      <c r="G101" s="1707"/>
      <c r="H101" s="9"/>
      <c r="I101" s="1006" t="s">
        <v>272</v>
      </c>
      <c r="J101" s="925"/>
      <c r="K101" s="956"/>
      <c r="L101" s="956"/>
      <c r="M101" s="956"/>
      <c r="N101" s="956"/>
      <c r="O101" s="957"/>
      <c r="P101" s="8"/>
      <c r="Q101" s="945" t="s">
        <v>273</v>
      </c>
      <c r="R101" s="928">
        <v>2</v>
      </c>
      <c r="S101" s="927" t="s">
        <v>274</v>
      </c>
      <c r="T101" s="944"/>
      <c r="U101" s="928" t="s">
        <v>275</v>
      </c>
      <c r="V101" s="8"/>
      <c r="W101" s="1715"/>
      <c r="X101" s="1715"/>
      <c r="Y101" s="1715"/>
      <c r="Z101" s="1715"/>
      <c r="AA101" s="1715"/>
      <c r="AI101" s="275"/>
      <c r="AJ101" s="275"/>
      <c r="AK101" s="275"/>
      <c r="AL101" s="275"/>
      <c r="AM101" s="275"/>
      <c r="AN101" s="275"/>
      <c r="AO101" s="275"/>
      <c r="AP101" s="8"/>
    </row>
    <row r="102" spans="1:42" ht="14.4" customHeight="1" x14ac:dyDescent="0.35">
      <c r="A102" s="8"/>
      <c r="B102" s="1700"/>
      <c r="C102" s="8"/>
      <c r="D102" s="1043"/>
      <c r="E102" s="956"/>
      <c r="F102" s="956"/>
      <c r="G102" s="1044"/>
      <c r="H102" s="1005"/>
      <c r="I102" s="1005"/>
      <c r="J102" s="956"/>
      <c r="K102" s="1704"/>
      <c r="L102" s="1705"/>
      <c r="M102" s="956"/>
      <c r="N102" s="956"/>
      <c r="O102" s="957"/>
      <c r="P102" s="8"/>
      <c r="Q102" s="945" t="s">
        <v>276</v>
      </c>
      <c r="R102" s="928">
        <v>3.7</v>
      </c>
      <c r="S102" s="927" t="s">
        <v>277</v>
      </c>
      <c r="T102" s="944"/>
      <c r="U102" s="928" t="s">
        <v>278</v>
      </c>
      <c r="V102" s="8"/>
      <c r="W102" s="1715"/>
      <c r="X102" s="1715"/>
      <c r="Y102" s="1715"/>
      <c r="Z102" s="1715"/>
      <c r="AA102" s="1715"/>
      <c r="AI102" s="275"/>
      <c r="AJ102" s="275"/>
      <c r="AK102" s="275"/>
      <c r="AL102" s="275"/>
      <c r="AM102" s="275"/>
      <c r="AN102" s="275"/>
      <c r="AO102" s="275"/>
      <c r="AP102" s="8"/>
    </row>
    <row r="103" spans="1:42" ht="14.4" customHeight="1" x14ac:dyDescent="0.35">
      <c r="A103" s="8"/>
      <c r="B103" s="1700"/>
      <c r="C103" s="8"/>
      <c r="D103" s="1043"/>
      <c r="E103" s="956"/>
      <c r="F103" s="1049"/>
      <c r="G103" s="1049" t="s">
        <v>258</v>
      </c>
      <c r="H103" s="1050" t="s">
        <v>259</v>
      </c>
      <c r="I103" s="1712" t="s">
        <v>279</v>
      </c>
      <c r="J103" s="1713"/>
      <c r="K103" s="1051" t="s">
        <v>280</v>
      </c>
      <c r="L103" s="1052" t="s">
        <v>281</v>
      </c>
      <c r="M103" s="956"/>
      <c r="N103" s="956"/>
      <c r="O103" s="957"/>
      <c r="P103" s="8"/>
      <c r="Q103" s="945" t="s">
        <v>282</v>
      </c>
      <c r="R103" s="928">
        <v>1.4</v>
      </c>
      <c r="S103" s="927" t="s">
        <v>283</v>
      </c>
      <c r="T103" s="944"/>
      <c r="U103" s="928" t="s">
        <v>284</v>
      </c>
      <c r="V103" s="8"/>
      <c r="W103" s="927"/>
      <c r="X103" s="927"/>
      <c r="Y103" s="927"/>
      <c r="Z103" s="927"/>
      <c r="AA103" s="927"/>
      <c r="AI103" s="275"/>
      <c r="AJ103" s="275"/>
      <c r="AK103" s="275"/>
      <c r="AL103" s="275"/>
      <c r="AM103" s="275"/>
      <c r="AN103" s="275"/>
      <c r="AO103" s="275"/>
      <c r="AP103" s="8"/>
    </row>
    <row r="104" spans="1:42" ht="14.4" customHeight="1" x14ac:dyDescent="0.35">
      <c r="A104" s="8"/>
      <c r="B104" s="1700"/>
      <c r="C104" s="8"/>
      <c r="D104" s="1043"/>
      <c r="E104" s="956"/>
      <c r="F104" s="1710" t="s">
        <v>286</v>
      </c>
      <c r="G104" s="1711"/>
      <c r="H104" s="1483">
        <v>0.9</v>
      </c>
      <c r="I104" s="1714">
        <f>Area_Building_Footprint_Post_Development</f>
        <v>0</v>
      </c>
      <c r="J104" s="1714"/>
      <c r="K104" s="1504">
        <f t="shared" ref="K104:K112" si="7">I:I*Storm_Event_Feet</f>
        <v>0</v>
      </c>
      <c r="L104" s="1504">
        <f>H:H*K:K</f>
        <v>0</v>
      </c>
      <c r="M104" s="956"/>
      <c r="N104" s="956"/>
      <c r="O104" s="957"/>
      <c r="P104" s="8"/>
      <c r="Q104" s="945" t="s">
        <v>287</v>
      </c>
      <c r="R104" s="928">
        <v>1.4</v>
      </c>
      <c r="S104" s="927" t="s">
        <v>288</v>
      </c>
      <c r="T104" s="944"/>
      <c r="U104" s="928" t="s">
        <v>284</v>
      </c>
      <c r="V104" s="8"/>
      <c r="W104" s="902" t="s">
        <v>285</v>
      </c>
      <c r="X104" s="927"/>
      <c r="Y104" s="927"/>
      <c r="Z104" s="927"/>
      <c r="AA104" s="927"/>
      <c r="AI104" s="275"/>
      <c r="AJ104" s="275"/>
      <c r="AK104" s="275"/>
      <c r="AL104" s="275"/>
      <c r="AM104" s="275"/>
      <c r="AN104" s="275"/>
      <c r="AO104" s="275"/>
      <c r="AP104" s="8"/>
    </row>
    <row r="105" spans="1:42" ht="14.4" customHeight="1" x14ac:dyDescent="0.35">
      <c r="A105" s="8"/>
      <c r="B105" s="1700"/>
      <c r="C105" s="8"/>
      <c r="D105" s="1043"/>
      <c r="E105" s="956"/>
      <c r="F105" s="1710" t="s">
        <v>277</v>
      </c>
      <c r="G105" s="1711"/>
      <c r="H105" s="1483">
        <v>0.25</v>
      </c>
      <c r="I105" s="1714">
        <f>Area_Green_Roof_Post_Development</f>
        <v>0</v>
      </c>
      <c r="J105" s="1714"/>
      <c r="K105" s="1504">
        <f t="shared" si="7"/>
        <v>0</v>
      </c>
      <c r="L105" s="1504">
        <f t="shared" ref="L105:L112" si="8">H:H*K:K</f>
        <v>0</v>
      </c>
      <c r="M105" s="956"/>
      <c r="N105" s="956"/>
      <c r="O105" s="957"/>
      <c r="P105" s="8"/>
      <c r="Q105" s="945" t="s">
        <v>289</v>
      </c>
      <c r="R105" s="928">
        <v>4.5999999999999996</v>
      </c>
      <c r="S105" s="927" t="s">
        <v>290</v>
      </c>
      <c r="T105" s="944"/>
      <c r="U105" s="928" t="s">
        <v>291</v>
      </c>
      <c r="V105" s="8"/>
      <c r="W105" s="902"/>
      <c r="X105" s="927"/>
      <c r="Y105" s="927"/>
      <c r="Z105" s="927"/>
      <c r="AA105" s="927"/>
      <c r="AI105" s="275"/>
      <c r="AJ105" s="275"/>
      <c r="AK105" s="275"/>
      <c r="AL105" s="275"/>
      <c r="AM105" s="275"/>
      <c r="AN105" s="275"/>
      <c r="AO105" s="275"/>
      <c r="AP105" s="8"/>
    </row>
    <row r="106" spans="1:42" ht="14.4" customHeight="1" x14ac:dyDescent="0.35">
      <c r="A106" s="8"/>
      <c r="B106" s="1700"/>
      <c r="C106" s="8"/>
      <c r="D106" s="1043"/>
      <c r="E106" s="956"/>
      <c r="F106" s="1710" t="s">
        <v>1243</v>
      </c>
      <c r="G106" s="1711"/>
      <c r="H106" s="1483">
        <v>0.7</v>
      </c>
      <c r="I106" s="1714">
        <f>Area_Surface_Parking_Post_Development+Area_Additional_On_Site_Hardscape_Post_Development</f>
        <v>0</v>
      </c>
      <c r="J106" s="1714"/>
      <c r="K106" s="1504">
        <f t="shared" si="7"/>
        <v>0</v>
      </c>
      <c r="L106" s="1504">
        <f t="shared" si="8"/>
        <v>0</v>
      </c>
      <c r="M106" s="956"/>
      <c r="N106" s="956"/>
      <c r="O106" s="957"/>
      <c r="P106" s="8"/>
      <c r="Q106" s="945" t="s">
        <v>293</v>
      </c>
      <c r="R106" s="928">
        <v>0.8</v>
      </c>
      <c r="S106" s="927" t="s">
        <v>294</v>
      </c>
      <c r="T106" s="944"/>
      <c r="U106" s="928" t="s">
        <v>295</v>
      </c>
      <c r="V106" s="8"/>
      <c r="W106" s="1716" t="str">
        <f>HYPERLINK("https://www.nrcs.usda.gov/Internet/FSE_DOCUMENTS/stelprdb1083019.pdf","Run Coefficient Table")</f>
        <v>Run Coefficient Table</v>
      </c>
      <c r="X106" s="1716"/>
      <c r="Y106" s="1716"/>
      <c r="Z106" s="1716"/>
      <c r="AA106" s="927"/>
      <c r="AI106" s="275"/>
      <c r="AJ106" s="275"/>
      <c r="AK106" s="275"/>
      <c r="AL106" s="275"/>
      <c r="AM106" s="275"/>
      <c r="AN106" s="275"/>
      <c r="AO106" s="275"/>
      <c r="AP106" s="8"/>
    </row>
    <row r="107" spans="1:42" ht="14.4" customHeight="1" x14ac:dyDescent="0.35">
      <c r="A107" s="8"/>
      <c r="B107" s="1700"/>
      <c r="C107" s="8"/>
      <c r="D107" s="1043"/>
      <c r="E107" s="956"/>
      <c r="F107" s="1710" t="s">
        <v>1068</v>
      </c>
      <c r="G107" s="1711"/>
      <c r="H107" s="1483">
        <v>0.15</v>
      </c>
      <c r="I107" s="1714">
        <f>Area_Vegetated_LQ_Post_Development</f>
        <v>0</v>
      </c>
      <c r="J107" s="1714"/>
      <c r="K107" s="1504">
        <f t="shared" si="7"/>
        <v>0</v>
      </c>
      <c r="L107" s="1504">
        <f t="shared" si="8"/>
        <v>0</v>
      </c>
      <c r="M107" s="956"/>
      <c r="N107" s="956"/>
      <c r="O107" s="957"/>
      <c r="P107" s="8"/>
      <c r="Q107" s="945" t="s">
        <v>296</v>
      </c>
      <c r="R107" s="928">
        <v>2.2000000000000002</v>
      </c>
      <c r="S107" s="927" t="s">
        <v>228</v>
      </c>
      <c r="T107" s="944"/>
      <c r="U107" s="928" t="s">
        <v>297</v>
      </c>
      <c r="V107" s="8"/>
      <c r="W107" s="1715" t="s">
        <v>292</v>
      </c>
      <c r="X107" s="1715"/>
      <c r="Y107" s="1715"/>
      <c r="Z107" s="1715"/>
      <c r="AA107" s="1715"/>
      <c r="AI107" s="275"/>
      <c r="AJ107" s="275"/>
      <c r="AK107" s="275"/>
      <c r="AL107" s="275"/>
      <c r="AM107" s="275"/>
      <c r="AN107" s="275"/>
      <c r="AO107" s="275"/>
      <c r="AP107" s="8"/>
    </row>
    <row r="108" spans="1:42" ht="14.4" customHeight="1" x14ac:dyDescent="0.35">
      <c r="A108" s="8"/>
      <c r="B108" s="1700"/>
      <c r="C108" s="8"/>
      <c r="D108" s="1043"/>
      <c r="E108" s="956"/>
      <c r="F108" s="1710" t="s">
        <v>1075</v>
      </c>
      <c r="G108" s="1711"/>
      <c r="H108" s="1483">
        <v>0.05</v>
      </c>
      <c r="I108" s="1714">
        <f>Area_Vegetated_MQ_Post_Development+Area_Vegetated_HQ_Post_Development</f>
        <v>0</v>
      </c>
      <c r="J108" s="1714"/>
      <c r="K108" s="1504">
        <f t="shared" si="7"/>
        <v>0</v>
      </c>
      <c r="L108" s="1504">
        <f t="shared" si="8"/>
        <v>0</v>
      </c>
      <c r="M108" s="956"/>
      <c r="N108" s="956"/>
      <c r="O108" s="957"/>
      <c r="P108" s="8"/>
      <c r="Q108" s="945" t="s">
        <v>298</v>
      </c>
      <c r="R108" s="928">
        <v>3.8</v>
      </c>
      <c r="S108" s="927" t="s">
        <v>235</v>
      </c>
      <c r="T108" s="944"/>
      <c r="U108" s="928" t="s">
        <v>299</v>
      </c>
      <c r="V108" s="8"/>
      <c r="W108" s="1715"/>
      <c r="X108" s="1715"/>
      <c r="Y108" s="1715"/>
      <c r="Z108" s="1715"/>
      <c r="AA108" s="1715"/>
      <c r="AI108" s="275"/>
      <c r="AJ108" s="275"/>
      <c r="AK108" s="275"/>
      <c r="AL108" s="275"/>
      <c r="AM108" s="275"/>
      <c r="AN108" s="275"/>
      <c r="AO108" s="275"/>
      <c r="AP108" s="8"/>
    </row>
    <row r="109" spans="1:42" ht="14.4" customHeight="1" x14ac:dyDescent="0.35">
      <c r="A109" s="8"/>
      <c r="B109" s="1700"/>
      <c r="C109" s="8"/>
      <c r="D109" s="1043"/>
      <c r="E109" s="956"/>
      <c r="F109" s="1710" t="s">
        <v>1076</v>
      </c>
      <c r="G109" s="1711"/>
      <c r="H109" s="1483">
        <v>0.6</v>
      </c>
      <c r="I109" s="1714">
        <f>Area_Pervious_Pavement_Post_Development</f>
        <v>0</v>
      </c>
      <c r="J109" s="1714"/>
      <c r="K109" s="1504">
        <f t="shared" si="7"/>
        <v>0</v>
      </c>
      <c r="L109" s="1504">
        <f t="shared" si="8"/>
        <v>0</v>
      </c>
      <c r="M109" s="956"/>
      <c r="N109" s="956"/>
      <c r="O109" s="957"/>
      <c r="P109" s="8"/>
      <c r="Q109" s="945" t="s">
        <v>301</v>
      </c>
      <c r="R109" s="928">
        <v>5.4</v>
      </c>
      <c r="S109" s="927" t="s">
        <v>302</v>
      </c>
      <c r="T109" s="944"/>
      <c r="U109" s="928" t="s">
        <v>299</v>
      </c>
      <c r="V109" s="8"/>
      <c r="W109" s="927"/>
      <c r="X109" s="927"/>
      <c r="Y109" s="927"/>
      <c r="Z109" s="927"/>
      <c r="AA109" s="927"/>
      <c r="AI109" s="275"/>
      <c r="AJ109" s="275"/>
      <c r="AK109" s="275"/>
      <c r="AL109" s="275"/>
      <c r="AM109" s="275"/>
      <c r="AN109" s="275"/>
      <c r="AO109" s="275"/>
      <c r="AP109" s="8"/>
    </row>
    <row r="110" spans="1:42" ht="14.4" customHeight="1" x14ac:dyDescent="0.35">
      <c r="A110" s="8"/>
      <c r="B110" s="1700"/>
      <c r="C110" s="8"/>
      <c r="D110" s="1043"/>
      <c r="E110" s="956"/>
      <c r="F110" s="1721"/>
      <c r="G110" s="1722"/>
      <c r="H110" s="1483"/>
      <c r="I110" s="1723"/>
      <c r="J110" s="1724"/>
      <c r="K110" s="1504">
        <f t="shared" si="7"/>
        <v>0</v>
      </c>
      <c r="L110" s="1504">
        <f t="shared" si="8"/>
        <v>0</v>
      </c>
      <c r="M110" s="956"/>
      <c r="N110" s="956"/>
      <c r="O110" s="957"/>
      <c r="P110" s="8"/>
      <c r="Q110" s="945" t="s">
        <v>304</v>
      </c>
      <c r="R110" s="928">
        <v>3.4</v>
      </c>
      <c r="S110" s="927" t="s">
        <v>305</v>
      </c>
      <c r="T110" s="944"/>
      <c r="U110" s="928" t="s">
        <v>306</v>
      </c>
      <c r="V110" s="8"/>
      <c r="W110" s="927"/>
      <c r="X110" s="927"/>
      <c r="Y110" s="927"/>
      <c r="Z110" s="927"/>
      <c r="AA110" s="927"/>
      <c r="AI110" s="275"/>
      <c r="AJ110" s="275"/>
      <c r="AK110" s="275"/>
      <c r="AL110" s="275"/>
      <c r="AM110" s="275"/>
      <c r="AN110" s="275"/>
      <c r="AO110" s="275"/>
      <c r="AP110" s="8"/>
    </row>
    <row r="111" spans="1:42" ht="14.4" customHeight="1" x14ac:dyDescent="0.35">
      <c r="A111" s="8"/>
      <c r="B111" s="1700"/>
      <c r="C111" s="8"/>
      <c r="D111" s="1043"/>
      <c r="E111" s="956"/>
      <c r="F111" s="1721"/>
      <c r="G111" s="1722"/>
      <c r="H111" s="1483"/>
      <c r="I111" s="1723"/>
      <c r="J111" s="1724"/>
      <c r="K111" s="1504">
        <f t="shared" si="7"/>
        <v>0</v>
      </c>
      <c r="L111" s="1504">
        <f t="shared" si="8"/>
        <v>0</v>
      </c>
      <c r="M111" s="956"/>
      <c r="N111" s="956"/>
      <c r="O111" s="957"/>
      <c r="P111" s="8"/>
      <c r="Q111" s="945" t="s">
        <v>308</v>
      </c>
      <c r="R111" s="928">
        <v>3</v>
      </c>
      <c r="S111" s="927" t="s">
        <v>309</v>
      </c>
      <c r="T111" s="944"/>
      <c r="U111" s="928" t="s">
        <v>299</v>
      </c>
      <c r="V111" s="8"/>
      <c r="W111" s="927"/>
      <c r="X111" s="927"/>
      <c r="Y111" s="927"/>
      <c r="Z111" s="927"/>
      <c r="AA111" s="927"/>
      <c r="AI111" s="275"/>
      <c r="AJ111" s="275"/>
      <c r="AK111" s="275"/>
      <c r="AL111" s="275"/>
      <c r="AM111" s="275"/>
      <c r="AN111" s="275"/>
      <c r="AO111" s="275"/>
      <c r="AP111" s="8"/>
    </row>
    <row r="112" spans="1:42" ht="14.4" customHeight="1" x14ac:dyDescent="0.35">
      <c r="A112" s="8"/>
      <c r="B112" s="1700"/>
      <c r="C112" s="8"/>
      <c r="D112" s="1043"/>
      <c r="E112" s="956"/>
      <c r="F112" s="1721"/>
      <c r="G112" s="1722"/>
      <c r="H112" s="1483"/>
      <c r="I112" s="1723"/>
      <c r="J112" s="1724"/>
      <c r="K112" s="1504">
        <f t="shared" si="7"/>
        <v>0</v>
      </c>
      <c r="L112" s="1504">
        <f t="shared" si="8"/>
        <v>0</v>
      </c>
      <c r="M112" s="956"/>
      <c r="N112" s="956"/>
      <c r="O112" s="957"/>
      <c r="P112" s="8"/>
      <c r="Q112" s="945"/>
      <c r="R112" s="928"/>
      <c r="S112" s="927"/>
      <c r="T112" s="944"/>
      <c r="U112" s="928"/>
      <c r="V112" s="8"/>
      <c r="W112" s="927"/>
      <c r="X112" s="927"/>
      <c r="Y112" s="927"/>
      <c r="Z112" s="927"/>
      <c r="AA112" s="927"/>
      <c r="AI112" s="275"/>
      <c r="AJ112" s="275"/>
      <c r="AK112" s="275"/>
      <c r="AL112" s="275"/>
      <c r="AM112" s="275"/>
      <c r="AN112" s="275"/>
      <c r="AO112" s="275"/>
      <c r="AP112" s="8"/>
    </row>
    <row r="113" spans="1:42" ht="14.4" customHeight="1" x14ac:dyDescent="0.35">
      <c r="A113" s="8"/>
      <c r="B113" s="1700"/>
      <c r="C113" s="8"/>
      <c r="D113" s="1043"/>
      <c r="E113" s="956"/>
      <c r="F113" s="1054"/>
      <c r="G113" s="1054" t="s">
        <v>300</v>
      </c>
      <c r="H113" s="1005"/>
      <c r="I113" s="1005"/>
      <c r="J113" s="1053">
        <f>SUM(I104:J112)</f>
        <v>0</v>
      </c>
      <c r="K113" s="1519">
        <f>SUM(K104:K112)</f>
        <v>0</v>
      </c>
      <c r="L113" s="1519">
        <f>SUM(L104:L112)</f>
        <v>0</v>
      </c>
      <c r="M113" s="956"/>
      <c r="N113" s="956"/>
      <c r="O113" s="957"/>
      <c r="P113" s="8"/>
      <c r="Q113" s="945"/>
      <c r="R113" s="928"/>
      <c r="S113" s="927"/>
      <c r="T113" s="944"/>
      <c r="U113" s="928"/>
      <c r="V113" s="8"/>
      <c r="W113" s="927"/>
      <c r="X113" s="927"/>
      <c r="Y113" s="927"/>
      <c r="Z113" s="927"/>
      <c r="AA113" s="927"/>
      <c r="AI113" s="275"/>
      <c r="AJ113" s="275"/>
      <c r="AK113" s="275"/>
      <c r="AL113" s="275"/>
      <c r="AM113" s="275"/>
      <c r="AN113" s="275"/>
      <c r="AO113" s="275"/>
      <c r="AP113" s="8"/>
    </row>
    <row r="114" spans="1:42" ht="14.4" customHeight="1" thickBot="1" x14ac:dyDescent="0.4">
      <c r="A114" s="8"/>
      <c r="B114" s="1700"/>
      <c r="C114" s="8"/>
      <c r="D114" s="1047"/>
      <c r="E114" s="956"/>
      <c r="F114" s="1055"/>
      <c r="G114" s="1055" t="s">
        <v>303</v>
      </c>
      <c r="H114" s="1056"/>
      <c r="I114" s="1056"/>
      <c r="J114" s="1057"/>
      <c r="K114" s="1056"/>
      <c r="L114" s="1519">
        <f>MAX(0, Stormwater_Runoff_Total-Rainwater_Storage_Volume)</f>
        <v>0</v>
      </c>
      <c r="M114" s="956"/>
      <c r="N114" s="956"/>
      <c r="O114" s="957"/>
      <c r="P114" s="8"/>
      <c r="Q114" s="945"/>
      <c r="R114" s="928"/>
      <c r="S114" s="927"/>
      <c r="T114" s="944"/>
      <c r="U114" s="928"/>
      <c r="V114" s="8"/>
      <c r="W114" s="927"/>
      <c r="X114" s="927"/>
      <c r="Y114" s="927"/>
      <c r="Z114" s="927"/>
      <c r="AA114" s="927"/>
      <c r="AI114" s="275"/>
      <c r="AJ114" s="275"/>
      <c r="AK114" s="275"/>
      <c r="AL114" s="275"/>
      <c r="AM114" s="275"/>
      <c r="AN114" s="275"/>
      <c r="AO114" s="275"/>
      <c r="AP114" s="8"/>
    </row>
    <row r="115" spans="1:42" ht="14.4" customHeight="1" thickBot="1" x14ac:dyDescent="0.4">
      <c r="A115" s="8"/>
      <c r="B115" s="1700"/>
      <c r="C115" s="8"/>
      <c r="D115" s="961"/>
      <c r="E115" s="956"/>
      <c r="F115" s="1008"/>
      <c r="G115" s="1008" t="s">
        <v>307</v>
      </c>
      <c r="H115" s="1058">
        <f>IFERROR(1-(Stormwater_Runoff_Net_Total/Stormwater_Event_Total),0)</f>
        <v>0</v>
      </c>
      <c r="I115" s="1059"/>
      <c r="J115" s="956"/>
      <c r="K115" s="956"/>
      <c r="L115" s="956"/>
      <c r="M115" s="956"/>
      <c r="N115" s="956"/>
      <c r="O115" s="957"/>
      <c r="P115" s="8"/>
      <c r="Q115" s="944"/>
      <c r="R115" s="969"/>
      <c r="S115" s="944"/>
      <c r="T115" s="944"/>
      <c r="U115" s="944"/>
      <c r="V115" s="8"/>
      <c r="W115" s="927"/>
      <c r="X115" s="927"/>
      <c r="Y115" s="927"/>
      <c r="Z115" s="927"/>
      <c r="AA115" s="927"/>
      <c r="AI115" s="275"/>
      <c r="AJ115" s="275"/>
      <c r="AK115" s="275"/>
      <c r="AL115" s="275"/>
      <c r="AM115" s="275"/>
      <c r="AN115" s="275"/>
      <c r="AO115" s="275"/>
      <c r="AP115" s="8"/>
    </row>
    <row r="116" spans="1:42" ht="14.4" customHeight="1" x14ac:dyDescent="0.35">
      <c r="A116" s="8"/>
      <c r="B116" s="1700"/>
      <c r="C116" s="8"/>
      <c r="D116" s="1060"/>
      <c r="E116" s="1061"/>
      <c r="F116" s="1061"/>
      <c r="G116" s="1061"/>
      <c r="H116" s="1061"/>
      <c r="I116" s="1061"/>
      <c r="J116" s="1061"/>
      <c r="K116" s="1061"/>
      <c r="L116" s="1061"/>
      <c r="M116" s="1061"/>
      <c r="N116" s="1061"/>
      <c r="O116" s="1062"/>
      <c r="P116" s="8"/>
      <c r="Q116" s="944"/>
      <c r="R116" s="969"/>
      <c r="S116" s="944"/>
      <c r="T116" s="944"/>
      <c r="U116" s="944"/>
      <c r="V116" s="8"/>
      <c r="W116" s="927"/>
      <c r="X116" s="927"/>
      <c r="Y116" s="927"/>
      <c r="Z116" s="927"/>
      <c r="AA116" s="927"/>
      <c r="AI116" s="275"/>
      <c r="AJ116" s="275"/>
      <c r="AK116" s="275"/>
      <c r="AL116" s="275"/>
      <c r="AM116" s="275"/>
      <c r="AN116" s="275"/>
      <c r="AO116" s="275"/>
      <c r="AP116" s="8"/>
    </row>
    <row r="117" spans="1:42" ht="14.4" customHeight="1" x14ac:dyDescent="0.35">
      <c r="A117" s="8"/>
      <c r="B117" s="892"/>
      <c r="C117" s="8"/>
      <c r="D117" s="8"/>
      <c r="E117" s="8"/>
      <c r="F117" s="8"/>
      <c r="G117" s="8"/>
      <c r="H117" s="8"/>
      <c r="I117" s="8"/>
      <c r="J117" s="8"/>
      <c r="K117" s="8"/>
      <c r="L117" s="8"/>
      <c r="M117" s="8"/>
      <c r="N117" s="8"/>
      <c r="O117" s="8"/>
      <c r="P117" s="8"/>
      <c r="Q117" s="8"/>
      <c r="R117" s="64"/>
      <c r="S117" s="8"/>
      <c r="T117" s="8"/>
      <c r="U117" s="8"/>
      <c r="V117" s="8"/>
      <c r="W117" s="8"/>
      <c r="X117" s="8"/>
      <c r="Y117" s="8"/>
      <c r="Z117" s="8"/>
      <c r="AA117" s="8"/>
      <c r="AI117" s="275"/>
      <c r="AJ117" s="275"/>
      <c r="AK117" s="275"/>
      <c r="AL117" s="275"/>
      <c r="AM117" s="275"/>
      <c r="AN117" s="275"/>
      <c r="AO117" s="275"/>
      <c r="AP117" s="8"/>
    </row>
    <row r="118" spans="1:42" ht="14.4" customHeight="1" x14ac:dyDescent="0.35">
      <c r="A118" s="8"/>
      <c r="B118" s="1622" t="s">
        <v>310</v>
      </c>
      <c r="C118" s="8"/>
      <c r="D118" s="1636" t="s">
        <v>970</v>
      </c>
      <c r="E118" s="1637"/>
      <c r="F118" s="1637"/>
      <c r="G118" s="1637"/>
      <c r="H118" s="1637"/>
      <c r="I118" s="1637"/>
      <c r="J118" s="1637"/>
      <c r="K118" s="1637"/>
      <c r="L118" s="1637"/>
      <c r="M118" s="1637"/>
      <c r="N118" s="1637"/>
      <c r="O118" s="1638"/>
      <c r="P118" s="8"/>
      <c r="Q118" s="1063" t="s">
        <v>755</v>
      </c>
      <c r="R118" s="959" t="s">
        <v>139</v>
      </c>
      <c r="S118" s="959"/>
      <c r="T118" s="1063" t="s">
        <v>311</v>
      </c>
      <c r="U118" s="1046"/>
      <c r="V118" s="8"/>
      <c r="W118" s="927"/>
      <c r="X118" s="927"/>
      <c r="Y118" s="927"/>
      <c r="Z118" s="927"/>
      <c r="AA118" s="927"/>
      <c r="AI118" s="275"/>
      <c r="AJ118" s="275"/>
      <c r="AK118" s="275"/>
      <c r="AL118" s="275"/>
      <c r="AM118" s="275"/>
      <c r="AN118" s="275"/>
      <c r="AO118" s="275"/>
      <c r="AP118" s="8"/>
    </row>
    <row r="119" spans="1:42" ht="14.4" customHeight="1" x14ac:dyDescent="0.35">
      <c r="A119" s="8"/>
      <c r="B119" s="1700"/>
      <c r="C119" s="8"/>
      <c r="D119" s="1042"/>
      <c r="E119" s="951"/>
      <c r="F119" s="951"/>
      <c r="G119" s="951"/>
      <c r="H119" s="951"/>
      <c r="I119" s="951"/>
      <c r="J119" s="951"/>
      <c r="K119" s="951"/>
      <c r="L119" s="951"/>
      <c r="M119" s="951"/>
      <c r="N119" s="951"/>
      <c r="O119" s="952"/>
      <c r="P119" s="8"/>
      <c r="Q119" s="927" t="s">
        <v>313</v>
      </c>
      <c r="R119" s="928">
        <v>1</v>
      </c>
      <c r="S119" s="1064">
        <v>0.2</v>
      </c>
      <c r="T119" s="927" t="s">
        <v>140</v>
      </c>
      <c r="U119" s="1065"/>
      <c r="V119" s="8"/>
      <c r="W119" s="927"/>
      <c r="X119" s="927"/>
      <c r="Y119" s="927"/>
      <c r="Z119" s="927"/>
      <c r="AA119" s="927"/>
      <c r="AI119" s="275"/>
      <c r="AJ119" s="275"/>
      <c r="AK119" s="275"/>
      <c r="AL119" s="275"/>
      <c r="AM119" s="275"/>
      <c r="AN119" s="275"/>
      <c r="AO119" s="275"/>
      <c r="AP119" s="8"/>
    </row>
    <row r="120" spans="1:42" ht="14.4" customHeight="1" x14ac:dyDescent="0.35">
      <c r="A120" s="8"/>
      <c r="B120" s="1700"/>
      <c r="C120" s="975"/>
      <c r="D120" s="971"/>
      <c r="E120" s="956"/>
      <c r="F120" s="956"/>
      <c r="G120" s="1044" t="s">
        <v>312</v>
      </c>
      <c r="H120" s="1701"/>
      <c r="I120" s="1702"/>
      <c r="J120" s="1702"/>
      <c r="K120" s="1703"/>
      <c r="L120" s="1003" t="s">
        <v>687</v>
      </c>
      <c r="M120" s="956"/>
      <c r="N120" s="956"/>
      <c r="O120" s="957"/>
      <c r="P120" s="8"/>
      <c r="Q120" s="927" t="s">
        <v>314</v>
      </c>
      <c r="R120" s="928">
        <v>2</v>
      </c>
      <c r="S120" s="1064">
        <v>0.4</v>
      </c>
      <c r="T120" s="927" t="s">
        <v>141</v>
      </c>
      <c r="U120" s="1065"/>
      <c r="V120" s="8"/>
      <c r="W120" s="927"/>
      <c r="X120" s="927"/>
      <c r="Y120" s="927"/>
      <c r="Z120" s="927"/>
      <c r="AA120" s="927"/>
      <c r="AI120" s="275"/>
      <c r="AJ120" s="275"/>
      <c r="AK120" s="275"/>
      <c r="AL120" s="275"/>
      <c r="AM120" s="275"/>
      <c r="AN120" s="275"/>
      <c r="AO120" s="275"/>
      <c r="AP120" s="8"/>
    </row>
    <row r="121" spans="1:42" ht="14.4" customHeight="1" thickBot="1" x14ac:dyDescent="0.4">
      <c r="A121" s="8"/>
      <c r="B121" s="1700"/>
      <c r="C121" s="975"/>
      <c r="D121" s="971"/>
      <c r="E121" s="1066"/>
      <c r="F121" s="1066"/>
      <c r="G121" s="956"/>
      <c r="H121" s="956"/>
      <c r="I121" s="956"/>
      <c r="J121" s="956"/>
      <c r="K121" s="956"/>
      <c r="L121" s="956"/>
      <c r="M121" s="956"/>
      <c r="N121" s="956"/>
      <c r="O121" s="957"/>
      <c r="P121" s="8"/>
      <c r="Q121" s="927" t="s">
        <v>973</v>
      </c>
      <c r="R121" s="1067">
        <v>3</v>
      </c>
      <c r="S121" s="1068">
        <v>0.6</v>
      </c>
      <c r="T121" s="1065"/>
      <c r="U121" s="1065"/>
      <c r="V121" s="8"/>
      <c r="W121" s="927"/>
      <c r="X121" s="927"/>
      <c r="Y121" s="927"/>
      <c r="Z121" s="927"/>
      <c r="AA121" s="927"/>
      <c r="AI121" s="275"/>
      <c r="AJ121" s="275"/>
      <c r="AK121" s="275"/>
      <c r="AL121" s="275"/>
      <c r="AM121" s="275"/>
      <c r="AN121" s="275"/>
      <c r="AO121" s="275"/>
      <c r="AP121" s="8"/>
    </row>
    <row r="122" spans="1:42" ht="14.4" customHeight="1" thickBot="1" x14ac:dyDescent="0.4">
      <c r="A122" s="8"/>
      <c r="B122" s="1700"/>
      <c r="C122" s="975"/>
      <c r="D122" s="963"/>
      <c r="E122" s="938"/>
      <c r="F122" s="938"/>
      <c r="G122" s="1008" t="s">
        <v>876</v>
      </c>
      <c r="H122" s="314">
        <f>IFERROR(VLOOKUP(120:120,Runoff_Type_Table,2,FALSE)/MAX(Runoff_Type_Table),0)</f>
        <v>0</v>
      </c>
      <c r="I122" s="1069"/>
      <c r="J122" s="956"/>
      <c r="K122" s="956"/>
      <c r="L122" s="956"/>
      <c r="M122" s="956"/>
      <c r="N122" s="956"/>
      <c r="O122" s="957"/>
      <c r="P122" s="8"/>
      <c r="Q122" s="927" t="s">
        <v>315</v>
      </c>
      <c r="R122" s="928">
        <v>4</v>
      </c>
      <c r="S122" s="1064">
        <v>0.8</v>
      </c>
      <c r="T122" s="927" t="s">
        <v>168</v>
      </c>
      <c r="U122" s="1065"/>
      <c r="V122" s="8"/>
      <c r="W122" s="927"/>
      <c r="X122" s="927"/>
      <c r="Y122" s="927"/>
      <c r="Z122" s="927"/>
      <c r="AA122" s="927"/>
      <c r="AI122" s="275"/>
      <c r="AJ122" s="275"/>
      <c r="AK122" s="275"/>
      <c r="AL122" s="275"/>
      <c r="AM122" s="275"/>
      <c r="AN122" s="275"/>
      <c r="AO122" s="275"/>
      <c r="AP122" s="8"/>
    </row>
    <row r="123" spans="1:42" ht="14.4" customHeight="1" x14ac:dyDescent="0.35">
      <c r="A123" s="8"/>
      <c r="B123" s="1700"/>
      <c r="C123" s="8"/>
      <c r="D123" s="1060"/>
      <c r="E123" s="1061"/>
      <c r="F123" s="1061"/>
      <c r="G123" s="1061"/>
      <c r="H123" s="1061"/>
      <c r="I123" s="1061"/>
      <c r="J123" s="1061"/>
      <c r="K123" s="1061"/>
      <c r="L123" s="1061"/>
      <c r="M123" s="1061"/>
      <c r="N123" s="1061"/>
      <c r="O123" s="1062"/>
      <c r="P123" s="8"/>
      <c r="Q123" s="927" t="s">
        <v>316</v>
      </c>
      <c r="R123" s="928">
        <v>5</v>
      </c>
      <c r="S123" s="1064">
        <v>1</v>
      </c>
      <c r="T123" s="927" t="s">
        <v>173</v>
      </c>
      <c r="U123" s="1065"/>
      <c r="V123" s="8"/>
      <c r="W123" s="927"/>
      <c r="X123" s="927"/>
      <c r="Y123" s="927"/>
      <c r="Z123" s="927"/>
      <c r="AA123" s="927"/>
      <c r="AI123" s="275"/>
      <c r="AJ123" s="275"/>
      <c r="AK123" s="275"/>
      <c r="AL123" s="275"/>
      <c r="AM123" s="275"/>
      <c r="AN123" s="275"/>
      <c r="AO123" s="275"/>
      <c r="AP123" s="8"/>
    </row>
    <row r="124" spans="1:42" ht="14.4" customHeight="1" x14ac:dyDescent="0.35">
      <c r="A124" s="8"/>
      <c r="B124" s="892"/>
      <c r="C124" s="8"/>
      <c r="D124" s="8"/>
      <c r="E124" s="8"/>
      <c r="F124" s="8"/>
      <c r="G124" s="8"/>
      <c r="H124" s="8"/>
      <c r="I124" s="8"/>
      <c r="J124" s="8"/>
      <c r="K124" s="8"/>
      <c r="L124" s="8"/>
      <c r="M124" s="8"/>
      <c r="N124" s="8"/>
      <c r="O124" s="8"/>
      <c r="P124" s="8"/>
      <c r="Q124" s="8"/>
      <c r="R124" s="64"/>
      <c r="S124" s="8"/>
      <c r="T124" s="8"/>
      <c r="U124" s="8"/>
      <c r="V124" s="8"/>
      <c r="W124" s="8"/>
      <c r="X124" s="8"/>
      <c r="Y124" s="8"/>
      <c r="Z124" s="8"/>
      <c r="AA124" s="8"/>
      <c r="AI124" s="275"/>
      <c r="AJ124" s="275"/>
      <c r="AK124" s="275"/>
      <c r="AL124" s="275"/>
      <c r="AM124" s="275"/>
      <c r="AN124" s="275"/>
      <c r="AO124" s="275"/>
      <c r="AP124" s="8"/>
    </row>
    <row r="125" spans="1:42" customFormat="1" ht="14.4" customHeight="1" x14ac:dyDescent="0.35">
      <c r="A125" s="484"/>
      <c r="B125" s="1622" t="s">
        <v>976</v>
      </c>
      <c r="C125" s="484"/>
      <c r="D125" s="1656" t="s">
        <v>971</v>
      </c>
      <c r="E125" s="1657"/>
      <c r="F125" s="1657"/>
      <c r="G125" s="1657"/>
      <c r="H125" s="1657"/>
      <c r="I125" s="1657"/>
      <c r="J125" s="1657"/>
      <c r="K125" s="1657"/>
      <c r="L125" s="1657"/>
      <c r="M125" s="1657"/>
      <c r="N125" s="1657"/>
      <c r="O125" s="1658"/>
      <c r="P125" s="484"/>
      <c r="Q125" s="1070"/>
      <c r="R125" s="1070"/>
      <c r="S125" s="1070"/>
      <c r="T125" s="1070"/>
      <c r="U125" s="1070"/>
      <c r="V125" s="484"/>
      <c r="W125" s="1070"/>
      <c r="X125" s="1070"/>
      <c r="Y125" s="1070"/>
      <c r="Z125" s="1070"/>
      <c r="AA125" s="1070"/>
      <c r="AB125" s="889"/>
      <c r="AC125" s="889"/>
      <c r="AD125" s="890"/>
      <c r="AE125" s="890"/>
      <c r="AF125" s="890"/>
      <c r="AG125" s="890"/>
      <c r="AH125" s="890"/>
      <c r="AI125" s="353"/>
      <c r="AJ125" s="353"/>
      <c r="AK125" s="353"/>
      <c r="AL125" s="353"/>
      <c r="AM125" s="329"/>
      <c r="AN125" s="329"/>
      <c r="AO125" s="329"/>
    </row>
    <row r="126" spans="1:42" customFormat="1" ht="14.4" customHeight="1" x14ac:dyDescent="0.35">
      <c r="A126" s="484"/>
      <c r="B126" s="1708"/>
      <c r="C126" s="484"/>
      <c r="D126" s="771"/>
      <c r="E126" s="772"/>
      <c r="F126" s="772"/>
      <c r="G126" s="772"/>
      <c r="H126" s="772"/>
      <c r="I126" s="772"/>
      <c r="J126" s="1071"/>
      <c r="K126" s="1071"/>
      <c r="L126" s="1071"/>
      <c r="M126" s="1072"/>
      <c r="N126" s="1072"/>
      <c r="O126" s="1073"/>
      <c r="P126" s="484"/>
      <c r="Q126" s="1070"/>
      <c r="R126" s="1070"/>
      <c r="S126" s="1070"/>
      <c r="T126" s="1070"/>
      <c r="U126" s="1070"/>
      <c r="V126" s="484"/>
      <c r="W126" s="1070"/>
      <c r="X126" s="1070"/>
      <c r="Y126" s="1070"/>
      <c r="Z126" s="1070"/>
      <c r="AA126" s="1070"/>
      <c r="AB126" s="889"/>
      <c r="AC126" s="889"/>
      <c r="AD126" s="890"/>
      <c r="AE126" s="890"/>
      <c r="AF126" s="890"/>
      <c r="AG126" s="890"/>
      <c r="AH126" s="890"/>
      <c r="AI126" s="353"/>
      <c r="AJ126" s="353"/>
      <c r="AK126" s="353"/>
      <c r="AL126" s="353"/>
      <c r="AM126" s="329"/>
      <c r="AN126" s="329"/>
      <c r="AO126" s="329"/>
    </row>
    <row r="127" spans="1:42" customFormat="1" ht="14.4" customHeight="1" x14ac:dyDescent="0.35">
      <c r="A127" s="484"/>
      <c r="B127" s="1708"/>
      <c r="C127" s="484"/>
      <c r="D127" s="786"/>
      <c r="E127" s="1647"/>
      <c r="F127" s="1648"/>
      <c r="G127" s="1648"/>
      <c r="H127" s="1648"/>
      <c r="I127" s="1648"/>
      <c r="J127" s="1648"/>
      <c r="K127" s="1648"/>
      <c r="L127" s="1648"/>
      <c r="M127" s="1648"/>
      <c r="N127" s="1649"/>
      <c r="O127" s="714"/>
      <c r="P127" s="484"/>
      <c r="Q127" s="1070"/>
      <c r="R127" s="1070"/>
      <c r="S127" s="1070"/>
      <c r="T127" s="1070"/>
      <c r="U127" s="1070"/>
      <c r="V127" s="484"/>
      <c r="W127" s="1070"/>
      <c r="X127" s="1070"/>
      <c r="Y127" s="1070"/>
      <c r="Z127" s="1070"/>
      <c r="AA127" s="1070"/>
      <c r="AB127" s="889"/>
      <c r="AC127" s="889"/>
      <c r="AD127" s="890"/>
      <c r="AE127" s="890"/>
      <c r="AF127" s="890"/>
      <c r="AG127" s="890"/>
      <c r="AH127" s="890"/>
      <c r="AI127" s="353"/>
      <c r="AJ127" s="353"/>
      <c r="AK127" s="353"/>
      <c r="AL127" s="353"/>
      <c r="AM127" s="329"/>
      <c r="AN127" s="329"/>
      <c r="AO127" s="329"/>
    </row>
    <row r="128" spans="1:42" customFormat="1" ht="14.4" customHeight="1" x14ac:dyDescent="0.35">
      <c r="A128" s="484"/>
      <c r="B128" s="1708"/>
      <c r="C128" s="484"/>
      <c r="D128" s="786"/>
      <c r="E128" s="1650"/>
      <c r="F128" s="1651"/>
      <c r="G128" s="1651"/>
      <c r="H128" s="1651"/>
      <c r="I128" s="1651"/>
      <c r="J128" s="1651"/>
      <c r="K128" s="1651"/>
      <c r="L128" s="1651"/>
      <c r="M128" s="1651"/>
      <c r="N128" s="1652"/>
      <c r="O128" s="714"/>
      <c r="P128" s="484"/>
      <c r="Q128" s="1070"/>
      <c r="R128" s="1070"/>
      <c r="S128" s="1070"/>
      <c r="T128" s="1070"/>
      <c r="U128" s="1070"/>
      <c r="V128" s="484"/>
      <c r="W128" s="1070"/>
      <c r="X128" s="1070"/>
      <c r="Y128" s="1070"/>
      <c r="Z128" s="1070"/>
      <c r="AA128" s="1070"/>
      <c r="AB128" s="889"/>
      <c r="AC128" s="889"/>
      <c r="AD128" s="890"/>
      <c r="AE128" s="890"/>
      <c r="AF128" s="890"/>
      <c r="AG128" s="890"/>
      <c r="AH128" s="890"/>
      <c r="AI128" s="353"/>
      <c r="AJ128" s="353"/>
      <c r="AK128" s="353"/>
      <c r="AL128" s="353"/>
      <c r="AM128" s="329"/>
      <c r="AN128" s="329"/>
      <c r="AO128" s="329"/>
    </row>
    <row r="129" spans="1:42" customFormat="1" ht="14.4" customHeight="1" x14ac:dyDescent="0.35">
      <c r="A129" s="484"/>
      <c r="B129" s="1708"/>
      <c r="C129" s="484"/>
      <c r="D129" s="786"/>
      <c r="E129" s="1650"/>
      <c r="F129" s="1651"/>
      <c r="G129" s="1651"/>
      <c r="H129" s="1651"/>
      <c r="I129" s="1651"/>
      <c r="J129" s="1651"/>
      <c r="K129" s="1651"/>
      <c r="L129" s="1651"/>
      <c r="M129" s="1651"/>
      <c r="N129" s="1652"/>
      <c r="O129" s="714"/>
      <c r="P129" s="484"/>
      <c r="Q129" s="1070"/>
      <c r="R129" s="1070"/>
      <c r="S129" s="1070"/>
      <c r="T129" s="1070"/>
      <c r="U129" s="1070"/>
      <c r="V129" s="484"/>
      <c r="W129" s="1070"/>
      <c r="X129" s="1070"/>
      <c r="Y129" s="1070"/>
      <c r="Z129" s="1070"/>
      <c r="AA129" s="1070"/>
      <c r="AB129" s="889"/>
      <c r="AC129" s="889"/>
      <c r="AD129" s="890"/>
      <c r="AE129" s="890"/>
      <c r="AF129" s="890"/>
      <c r="AG129" s="890"/>
      <c r="AH129" s="890"/>
      <c r="AI129" s="353"/>
      <c r="AJ129" s="353"/>
      <c r="AK129" s="353"/>
      <c r="AL129" s="353"/>
      <c r="AM129" s="329"/>
      <c r="AN129" s="329"/>
      <c r="AO129" s="329"/>
    </row>
    <row r="130" spans="1:42" customFormat="1" ht="14.4" customHeight="1" x14ac:dyDescent="0.35">
      <c r="A130" s="484"/>
      <c r="B130" s="1708"/>
      <c r="C130" s="484"/>
      <c r="D130" s="786"/>
      <c r="E130" s="1650"/>
      <c r="F130" s="1651"/>
      <c r="G130" s="1651"/>
      <c r="H130" s="1651"/>
      <c r="I130" s="1651"/>
      <c r="J130" s="1651"/>
      <c r="K130" s="1651"/>
      <c r="L130" s="1651"/>
      <c r="M130" s="1651"/>
      <c r="N130" s="1652"/>
      <c r="O130" s="714"/>
      <c r="P130" s="484"/>
      <c r="Q130" s="1070"/>
      <c r="R130" s="1070"/>
      <c r="S130" s="1070"/>
      <c r="T130" s="1070"/>
      <c r="U130" s="1070"/>
      <c r="V130" s="484"/>
      <c r="W130" s="1070"/>
      <c r="X130" s="1070"/>
      <c r="Y130" s="1070"/>
      <c r="Z130" s="1070"/>
      <c r="AA130" s="1070"/>
      <c r="AB130" s="889"/>
      <c r="AC130" s="889"/>
      <c r="AD130" s="890"/>
      <c r="AE130" s="890"/>
      <c r="AF130" s="890"/>
      <c r="AG130" s="890"/>
      <c r="AH130" s="890"/>
      <c r="AI130" s="353"/>
      <c r="AJ130" s="353"/>
      <c r="AK130" s="353"/>
      <c r="AL130" s="353"/>
      <c r="AM130" s="329"/>
      <c r="AN130" s="329"/>
      <c r="AO130" s="329"/>
    </row>
    <row r="131" spans="1:42" customFormat="1" ht="14.4" customHeight="1" x14ac:dyDescent="0.35">
      <c r="A131" s="484"/>
      <c r="B131" s="1708"/>
      <c r="C131" s="484"/>
      <c r="D131" s="786"/>
      <c r="E131" s="1650"/>
      <c r="F131" s="1651"/>
      <c r="G131" s="1651"/>
      <c r="H131" s="1651"/>
      <c r="I131" s="1651"/>
      <c r="J131" s="1651"/>
      <c r="K131" s="1651"/>
      <c r="L131" s="1651"/>
      <c r="M131" s="1651"/>
      <c r="N131" s="1652"/>
      <c r="O131" s="714"/>
      <c r="P131" s="484"/>
      <c r="Q131" s="1070"/>
      <c r="R131" s="1070"/>
      <c r="S131" s="1070"/>
      <c r="T131" s="1070"/>
      <c r="U131" s="1070"/>
      <c r="V131" s="484"/>
      <c r="W131" s="1070"/>
      <c r="X131" s="1070"/>
      <c r="Y131" s="1070"/>
      <c r="Z131" s="1070"/>
      <c r="AA131" s="1070"/>
      <c r="AB131" s="889"/>
      <c r="AC131" s="889"/>
      <c r="AD131" s="890"/>
      <c r="AE131" s="890"/>
      <c r="AF131" s="890"/>
      <c r="AG131" s="890"/>
      <c r="AH131" s="890"/>
      <c r="AI131" s="353"/>
      <c r="AJ131" s="353"/>
      <c r="AK131" s="353"/>
      <c r="AL131" s="353"/>
      <c r="AM131" s="329"/>
      <c r="AN131" s="329"/>
      <c r="AO131" s="329"/>
    </row>
    <row r="132" spans="1:42" customFormat="1" ht="14.4" customHeight="1" x14ac:dyDescent="0.35">
      <c r="A132" s="484"/>
      <c r="B132" s="1708"/>
      <c r="C132" s="484"/>
      <c r="D132" s="786"/>
      <c r="E132" s="1653"/>
      <c r="F132" s="1654"/>
      <c r="G132" s="1654"/>
      <c r="H132" s="1654"/>
      <c r="I132" s="1654"/>
      <c r="J132" s="1654"/>
      <c r="K132" s="1654"/>
      <c r="L132" s="1654"/>
      <c r="M132" s="1654"/>
      <c r="N132" s="1655"/>
      <c r="O132" s="714"/>
      <c r="P132" s="484"/>
      <c r="Q132" s="1070"/>
      <c r="R132" s="1070"/>
      <c r="S132" s="1070"/>
      <c r="T132" s="1070"/>
      <c r="U132" s="1070"/>
      <c r="V132" s="484"/>
      <c r="W132" s="1070"/>
      <c r="X132" s="1070"/>
      <c r="Y132" s="1070"/>
      <c r="Z132" s="1070"/>
      <c r="AA132" s="1070"/>
      <c r="AB132" s="889"/>
      <c r="AC132" s="889"/>
      <c r="AD132" s="890"/>
      <c r="AE132" s="890"/>
      <c r="AF132" s="890"/>
      <c r="AG132" s="890"/>
      <c r="AH132" s="890"/>
      <c r="AI132" s="353"/>
      <c r="AJ132" s="353"/>
      <c r="AK132" s="353"/>
      <c r="AL132" s="353"/>
      <c r="AM132" s="329"/>
      <c r="AN132" s="329"/>
      <c r="AO132" s="329"/>
    </row>
    <row r="133" spans="1:42" customFormat="1" ht="14.4" customHeight="1" x14ac:dyDescent="0.35">
      <c r="A133" s="484"/>
      <c r="B133" s="1708"/>
      <c r="C133" s="484"/>
      <c r="D133" s="803"/>
      <c r="E133" s="782"/>
      <c r="F133" s="782"/>
      <c r="G133" s="782"/>
      <c r="H133" s="782"/>
      <c r="I133" s="782"/>
      <c r="J133" s="1074"/>
      <c r="K133" s="1074"/>
      <c r="L133" s="1074"/>
      <c r="M133" s="1075"/>
      <c r="N133" s="1075"/>
      <c r="O133" s="1076"/>
      <c r="P133" s="484"/>
      <c r="Q133" s="1070"/>
      <c r="R133" s="1070"/>
      <c r="S133" s="1070"/>
      <c r="T133" s="1070"/>
      <c r="U133" s="1070"/>
      <c r="V133" s="484"/>
      <c r="W133" s="1070"/>
      <c r="X133" s="1070"/>
      <c r="Y133" s="1070"/>
      <c r="Z133" s="1070"/>
      <c r="AA133" s="1070"/>
      <c r="AB133" s="889"/>
      <c r="AC133" s="889"/>
      <c r="AD133" s="890"/>
      <c r="AE133" s="890"/>
      <c r="AF133" s="890"/>
      <c r="AG133" s="890"/>
      <c r="AH133" s="890"/>
      <c r="AI133" s="353"/>
      <c r="AJ133" s="353"/>
      <c r="AK133" s="353"/>
      <c r="AL133" s="353"/>
      <c r="AM133" s="329"/>
      <c r="AN133" s="329"/>
      <c r="AO133" s="329"/>
    </row>
    <row r="134" spans="1:42" ht="14.4" customHeight="1" x14ac:dyDescent="0.35">
      <c r="A134" s="8"/>
      <c r="B134" s="892"/>
      <c r="C134" s="8"/>
      <c r="D134" s="8"/>
      <c r="E134" s="8"/>
      <c r="F134" s="8"/>
      <c r="G134" s="8"/>
      <c r="H134" s="8"/>
      <c r="I134" s="8"/>
      <c r="J134" s="8"/>
      <c r="K134" s="8"/>
      <c r="L134" s="8"/>
      <c r="M134" s="8"/>
      <c r="N134" s="8"/>
      <c r="O134" s="8"/>
      <c r="P134" s="8"/>
      <c r="Q134" s="8"/>
      <c r="R134" s="64"/>
      <c r="S134" s="8"/>
      <c r="T134" s="8"/>
      <c r="U134" s="8"/>
      <c r="V134" s="8"/>
      <c r="W134" s="8"/>
      <c r="X134" s="8"/>
      <c r="Y134" s="8"/>
      <c r="Z134" s="8"/>
      <c r="AA134" s="8"/>
      <c r="AI134" s="275"/>
      <c r="AJ134" s="275"/>
      <c r="AK134" s="275"/>
      <c r="AL134" s="275"/>
      <c r="AM134" s="275"/>
      <c r="AN134" s="275"/>
      <c r="AO134" s="275"/>
      <c r="AP134" s="8"/>
    </row>
    <row r="135" spans="1:42" ht="14.4" customHeight="1" x14ac:dyDescent="0.35">
      <c r="A135" s="8"/>
      <c r="B135" s="892"/>
      <c r="C135" s="8"/>
      <c r="D135" s="8"/>
      <c r="E135" s="8"/>
      <c r="F135" s="8"/>
      <c r="G135" s="8"/>
      <c r="H135" s="8"/>
      <c r="I135" s="8"/>
      <c r="J135" s="8"/>
      <c r="K135" s="8"/>
      <c r="L135" s="8"/>
      <c r="M135" s="8"/>
      <c r="N135" s="8"/>
      <c r="O135" s="8"/>
      <c r="P135" s="8"/>
      <c r="Q135" s="8"/>
      <c r="R135" s="64"/>
      <c r="S135" s="8"/>
      <c r="T135" s="8"/>
      <c r="U135" s="8"/>
      <c r="V135" s="8"/>
      <c r="W135" s="8"/>
      <c r="X135" s="8"/>
      <c r="Y135" s="8"/>
      <c r="Z135" s="8"/>
      <c r="AA135" s="8"/>
      <c r="AI135" s="275"/>
      <c r="AJ135" s="275"/>
      <c r="AK135" s="275"/>
      <c r="AL135" s="275"/>
      <c r="AM135" s="275"/>
      <c r="AN135" s="275"/>
      <c r="AO135" s="275"/>
      <c r="AP135" s="8"/>
    </row>
    <row r="136" spans="1:42" ht="14.4" customHeight="1" x14ac:dyDescent="0.35">
      <c r="A136" s="8"/>
      <c r="B136" s="892"/>
      <c r="C136" s="8"/>
      <c r="D136" s="8"/>
      <c r="E136" s="8"/>
      <c r="F136" s="8"/>
      <c r="G136" s="8"/>
      <c r="H136" s="8"/>
      <c r="I136" s="8"/>
      <c r="J136" s="8"/>
      <c r="K136" s="8"/>
      <c r="L136" s="8"/>
      <c r="M136" s="8"/>
      <c r="N136" s="8"/>
      <c r="O136" s="8"/>
      <c r="P136" s="8"/>
      <c r="Q136" s="8"/>
      <c r="R136" s="64"/>
      <c r="S136" s="8"/>
      <c r="T136" s="8"/>
      <c r="U136" s="8"/>
      <c r="V136" s="8"/>
      <c r="W136" s="8"/>
      <c r="X136" s="8"/>
      <c r="Y136" s="8"/>
      <c r="Z136" s="8"/>
      <c r="AA136" s="8"/>
      <c r="AI136" s="275"/>
      <c r="AJ136" s="275"/>
      <c r="AK136" s="275"/>
      <c r="AL136" s="275"/>
      <c r="AM136" s="275"/>
      <c r="AN136" s="275"/>
      <c r="AO136" s="275"/>
      <c r="AP136" s="8"/>
    </row>
    <row r="137" spans="1:42" ht="14.4" customHeight="1" x14ac:dyDescent="0.35">
      <c r="A137" s="8"/>
      <c r="B137" s="892"/>
      <c r="C137" s="8"/>
      <c r="D137" s="8"/>
      <c r="E137" s="8"/>
      <c r="F137" s="8"/>
      <c r="G137" s="8"/>
      <c r="H137" s="8"/>
      <c r="I137" s="8"/>
      <c r="J137" s="8"/>
      <c r="K137" s="8"/>
      <c r="L137" s="8"/>
      <c r="M137" s="8"/>
      <c r="N137" s="8"/>
      <c r="O137" s="8"/>
      <c r="P137" s="8"/>
      <c r="Q137" s="8"/>
      <c r="R137" s="64"/>
      <c r="S137" s="8"/>
      <c r="T137" s="8"/>
      <c r="U137" s="8"/>
      <c r="V137" s="8"/>
      <c r="W137" s="8"/>
      <c r="X137" s="8"/>
      <c r="Y137" s="8"/>
      <c r="Z137" s="8"/>
      <c r="AA137" s="8"/>
      <c r="AI137" s="275"/>
      <c r="AJ137" s="275"/>
      <c r="AK137" s="275"/>
      <c r="AL137" s="275"/>
      <c r="AM137" s="275"/>
      <c r="AN137" s="275"/>
      <c r="AO137" s="275"/>
      <c r="AP137" s="8"/>
    </row>
    <row r="138" spans="1:42" ht="14.4" customHeight="1" x14ac:dyDescent="0.35">
      <c r="A138" s="8"/>
      <c r="B138" s="892"/>
      <c r="C138" s="8"/>
      <c r="D138" s="8"/>
      <c r="E138" s="8"/>
      <c r="F138" s="8"/>
      <c r="G138" s="8"/>
      <c r="H138" s="8"/>
      <c r="I138" s="8"/>
      <c r="J138" s="8"/>
      <c r="K138" s="8"/>
      <c r="L138" s="8"/>
      <c r="M138" s="8"/>
      <c r="N138" s="8"/>
      <c r="O138" s="8"/>
      <c r="P138" s="8"/>
      <c r="Q138" s="8"/>
      <c r="R138" s="64"/>
      <c r="S138" s="8"/>
      <c r="T138" s="8"/>
      <c r="U138" s="8"/>
      <c r="V138" s="8"/>
      <c r="W138" s="8"/>
      <c r="X138" s="8"/>
      <c r="Y138" s="8"/>
      <c r="Z138" s="8"/>
      <c r="AA138" s="8"/>
      <c r="AI138" s="275"/>
      <c r="AJ138" s="275"/>
      <c r="AK138" s="275"/>
      <c r="AL138" s="275"/>
      <c r="AM138" s="275"/>
      <c r="AN138" s="275"/>
      <c r="AO138" s="275"/>
      <c r="AP138" s="8"/>
    </row>
    <row r="139" spans="1:42" ht="14.4" customHeight="1" x14ac:dyDescent="0.35">
      <c r="A139" s="8"/>
      <c r="B139" s="892"/>
      <c r="C139" s="8"/>
      <c r="D139" s="8"/>
      <c r="E139" s="8"/>
      <c r="F139" s="8"/>
      <c r="G139" s="8"/>
      <c r="H139" s="8"/>
      <c r="I139" s="8"/>
      <c r="J139" s="8"/>
      <c r="K139" s="8"/>
      <c r="L139" s="8"/>
      <c r="M139" s="8"/>
      <c r="N139" s="8"/>
      <c r="O139" s="8"/>
      <c r="P139" s="8"/>
      <c r="Q139" s="8"/>
      <c r="R139" s="64"/>
      <c r="S139" s="8"/>
      <c r="T139" s="8"/>
      <c r="U139" s="8"/>
      <c r="V139" s="8"/>
      <c r="W139" s="8"/>
      <c r="X139" s="8"/>
      <c r="Y139" s="8"/>
      <c r="Z139" s="8"/>
      <c r="AA139" s="8"/>
      <c r="AI139" s="275"/>
      <c r="AJ139" s="275"/>
      <c r="AK139" s="275"/>
      <c r="AL139" s="275"/>
      <c r="AM139" s="275"/>
      <c r="AN139" s="275"/>
      <c r="AO139" s="275"/>
      <c r="AP139" s="8"/>
    </row>
    <row r="140" spans="1:42" ht="14.4" customHeight="1" x14ac:dyDescent="0.35">
      <c r="A140" s="8"/>
      <c r="B140" s="892"/>
      <c r="C140" s="8"/>
      <c r="D140" s="8"/>
      <c r="E140" s="8"/>
      <c r="F140" s="8"/>
      <c r="G140" s="8"/>
      <c r="H140" s="8"/>
      <c r="I140" s="8"/>
      <c r="J140" s="8"/>
      <c r="K140" s="8"/>
      <c r="L140" s="8"/>
      <c r="M140" s="8"/>
      <c r="N140" s="8"/>
      <c r="O140" s="8"/>
      <c r="P140" s="8"/>
      <c r="Q140" s="8"/>
      <c r="R140" s="64"/>
      <c r="S140" s="8"/>
      <c r="T140" s="8"/>
      <c r="U140" s="8"/>
      <c r="V140" s="8"/>
      <c r="W140" s="8"/>
      <c r="X140" s="8"/>
      <c r="Y140" s="8"/>
      <c r="Z140" s="8"/>
      <c r="AA140" s="8"/>
      <c r="AI140" s="275"/>
      <c r="AJ140" s="275"/>
      <c r="AK140" s="275"/>
      <c r="AL140" s="275"/>
      <c r="AM140" s="275"/>
      <c r="AN140" s="275"/>
      <c r="AO140" s="275"/>
      <c r="AP140" s="8"/>
    </row>
    <row r="141" spans="1:42" ht="14.4" customHeight="1" x14ac:dyDescent="0.35">
      <c r="A141" s="8"/>
      <c r="B141" s="892"/>
      <c r="C141" s="8"/>
      <c r="D141" s="8"/>
      <c r="E141" s="8"/>
      <c r="F141" s="8"/>
      <c r="G141" s="8"/>
      <c r="H141" s="8"/>
      <c r="I141" s="8"/>
      <c r="J141" s="8"/>
      <c r="K141" s="8"/>
      <c r="L141" s="8"/>
      <c r="M141" s="8"/>
      <c r="N141" s="8"/>
      <c r="O141" s="8"/>
      <c r="P141" s="8"/>
      <c r="Q141" s="8"/>
      <c r="R141" s="64"/>
      <c r="S141" s="8"/>
      <c r="T141" s="8"/>
      <c r="U141" s="8"/>
      <c r="V141" s="8"/>
      <c r="W141" s="8"/>
      <c r="X141" s="8"/>
      <c r="Y141" s="8"/>
      <c r="Z141" s="8"/>
      <c r="AA141" s="8"/>
      <c r="AI141" s="275"/>
      <c r="AJ141" s="275"/>
      <c r="AK141" s="275"/>
      <c r="AL141" s="275"/>
      <c r="AM141" s="275"/>
      <c r="AN141" s="275"/>
      <c r="AO141" s="275"/>
      <c r="AP141" s="8"/>
    </row>
    <row r="142" spans="1:42" ht="14.4" customHeight="1" x14ac:dyDescent="0.35">
      <c r="A142" s="8"/>
      <c r="B142" s="892"/>
      <c r="C142" s="8"/>
      <c r="D142" s="8"/>
      <c r="E142" s="8"/>
      <c r="F142" s="8"/>
      <c r="G142" s="8"/>
      <c r="H142" s="8"/>
      <c r="I142" s="8"/>
      <c r="J142" s="8"/>
      <c r="K142" s="8"/>
      <c r="L142" s="8"/>
      <c r="M142" s="8"/>
      <c r="N142" s="8"/>
      <c r="O142" s="8"/>
      <c r="P142" s="8"/>
      <c r="Q142" s="8"/>
      <c r="R142" s="64"/>
      <c r="S142" s="8"/>
      <c r="T142" s="8"/>
      <c r="U142" s="8"/>
      <c r="V142" s="8"/>
      <c r="W142" s="8"/>
      <c r="X142" s="8"/>
      <c r="Y142" s="8"/>
      <c r="Z142" s="8"/>
      <c r="AA142" s="8"/>
      <c r="AI142" s="275"/>
      <c r="AJ142" s="275"/>
      <c r="AK142" s="275"/>
      <c r="AL142" s="275"/>
      <c r="AM142" s="275"/>
      <c r="AN142" s="275"/>
      <c r="AO142" s="275"/>
      <c r="AP142" s="8"/>
    </row>
    <row r="143" spans="1:42" ht="14.4" customHeight="1" x14ac:dyDescent="0.35">
      <c r="A143" s="8"/>
      <c r="B143" s="892"/>
      <c r="C143" s="8"/>
      <c r="D143" s="8"/>
      <c r="E143" s="8"/>
      <c r="F143" s="8"/>
      <c r="G143" s="8"/>
      <c r="H143" s="8"/>
      <c r="I143" s="8"/>
      <c r="J143" s="8"/>
      <c r="K143" s="8"/>
      <c r="L143" s="8"/>
      <c r="M143" s="8"/>
      <c r="N143" s="8"/>
      <c r="O143" s="8"/>
      <c r="P143" s="8"/>
      <c r="Q143" s="8"/>
      <c r="R143" s="64"/>
      <c r="S143" s="8"/>
      <c r="T143" s="8"/>
      <c r="U143" s="8"/>
      <c r="V143" s="8"/>
      <c r="W143" s="8"/>
      <c r="X143" s="8"/>
      <c r="Y143" s="8"/>
      <c r="Z143" s="8"/>
      <c r="AA143" s="8"/>
      <c r="AI143" s="275"/>
      <c r="AJ143" s="275"/>
      <c r="AK143" s="275"/>
      <c r="AL143" s="275"/>
      <c r="AM143" s="275"/>
      <c r="AN143" s="275"/>
      <c r="AO143" s="275"/>
      <c r="AP143" s="8"/>
    </row>
    <row r="144" spans="1:42" ht="14.4" customHeight="1" x14ac:dyDescent="0.35">
      <c r="A144" s="8"/>
      <c r="B144" s="892"/>
      <c r="C144" s="8"/>
      <c r="D144" s="8"/>
      <c r="E144" s="8"/>
      <c r="F144" s="8"/>
      <c r="G144" s="8"/>
      <c r="H144" s="8"/>
      <c r="I144" s="8"/>
      <c r="J144" s="8"/>
      <c r="K144" s="8"/>
      <c r="L144" s="8"/>
      <c r="M144" s="8"/>
      <c r="N144" s="8"/>
      <c r="O144" s="8"/>
      <c r="P144" s="8"/>
      <c r="Q144" s="8"/>
      <c r="R144" s="64"/>
      <c r="S144" s="8"/>
      <c r="T144" s="8"/>
      <c r="U144" s="8"/>
      <c r="V144" s="8"/>
      <c r="W144" s="8"/>
      <c r="X144" s="8"/>
      <c r="Y144" s="8"/>
      <c r="Z144" s="8"/>
      <c r="AA144" s="8"/>
      <c r="AI144" s="275"/>
      <c r="AJ144" s="275"/>
      <c r="AK144" s="275"/>
      <c r="AL144" s="275"/>
      <c r="AM144" s="275"/>
      <c r="AN144" s="275"/>
      <c r="AO144" s="275"/>
      <c r="AP144" s="8"/>
    </row>
    <row r="145" spans="1:42" ht="14.4" customHeight="1" x14ac:dyDescent="0.35">
      <c r="A145" s="8"/>
      <c r="B145" s="892"/>
      <c r="C145" s="8"/>
      <c r="D145" s="8"/>
      <c r="E145" s="8"/>
      <c r="F145" s="8"/>
      <c r="G145" s="8"/>
      <c r="H145" s="8"/>
      <c r="I145" s="8"/>
      <c r="J145" s="8"/>
      <c r="K145" s="8"/>
      <c r="L145" s="8"/>
      <c r="M145" s="8"/>
      <c r="N145" s="8"/>
      <c r="O145" s="8"/>
      <c r="P145" s="8"/>
      <c r="Q145" s="8"/>
      <c r="R145" s="64"/>
      <c r="S145" s="8"/>
      <c r="T145" s="8"/>
      <c r="U145" s="8"/>
      <c r="V145" s="8"/>
      <c r="W145" s="8"/>
      <c r="X145" s="8"/>
      <c r="Y145" s="8"/>
      <c r="Z145" s="8"/>
      <c r="AA145" s="8"/>
      <c r="AI145" s="275"/>
      <c r="AJ145" s="275"/>
      <c r="AK145" s="275"/>
      <c r="AL145" s="275"/>
      <c r="AM145" s="275"/>
      <c r="AN145" s="275"/>
      <c r="AO145" s="275"/>
      <c r="AP145" s="8"/>
    </row>
    <row r="146" spans="1:42" ht="14.4" customHeight="1" x14ac:dyDescent="0.35">
      <c r="A146" s="8"/>
      <c r="B146" s="892"/>
      <c r="C146" s="8"/>
      <c r="D146" s="8"/>
      <c r="E146" s="8"/>
      <c r="F146" s="8" t="s">
        <v>1067</v>
      </c>
      <c r="G146" s="8"/>
      <c r="H146" s="8"/>
      <c r="I146" s="8"/>
      <c r="J146" s="8"/>
      <c r="K146" s="8"/>
      <c r="L146" s="8"/>
      <c r="M146" s="8"/>
      <c r="N146" s="8"/>
      <c r="O146" s="8"/>
      <c r="P146" s="8"/>
      <c r="Q146" s="8"/>
      <c r="R146" s="64"/>
      <c r="S146" s="8"/>
      <c r="T146" s="8"/>
      <c r="U146" s="8"/>
      <c r="V146" s="8"/>
      <c r="W146" s="8"/>
      <c r="X146" s="8"/>
      <c r="Y146" s="8"/>
      <c r="Z146" s="8"/>
      <c r="AA146" s="8"/>
      <c r="AI146" s="275"/>
      <c r="AJ146" s="275"/>
      <c r="AK146" s="275"/>
      <c r="AL146" s="275"/>
      <c r="AM146" s="275"/>
      <c r="AN146" s="275"/>
      <c r="AO146" s="275"/>
      <c r="AP146" s="8"/>
    </row>
    <row r="147" spans="1:42" ht="14.4" customHeight="1" x14ac:dyDescent="0.35">
      <c r="A147" s="8"/>
      <c r="B147" s="892"/>
      <c r="C147" s="8"/>
      <c r="D147" s="8"/>
      <c r="E147" s="8"/>
      <c r="F147" s="8"/>
      <c r="G147" s="8"/>
      <c r="H147" s="8"/>
      <c r="I147" s="8"/>
      <c r="J147" s="8"/>
      <c r="K147" s="8"/>
      <c r="L147" s="8"/>
      <c r="M147" s="8"/>
      <c r="N147" s="8"/>
      <c r="O147" s="8"/>
      <c r="P147" s="8"/>
      <c r="Q147" s="8"/>
      <c r="R147" s="64"/>
      <c r="S147" s="8"/>
      <c r="T147" s="8"/>
      <c r="U147" s="8"/>
      <c r="V147" s="8"/>
      <c r="W147" s="8"/>
      <c r="X147" s="8"/>
      <c r="Y147" s="8"/>
      <c r="Z147" s="8"/>
      <c r="AA147" s="8"/>
      <c r="AI147" s="275"/>
      <c r="AJ147" s="275"/>
      <c r="AK147" s="275"/>
      <c r="AL147" s="275"/>
      <c r="AM147" s="275"/>
      <c r="AN147" s="275"/>
      <c r="AO147" s="275"/>
      <c r="AP147" s="8"/>
    </row>
    <row r="148" spans="1:42" ht="14.4" customHeight="1" x14ac:dyDescent="0.35">
      <c r="A148" s="8"/>
      <c r="B148" s="892"/>
      <c r="C148" s="8"/>
      <c r="D148" s="8"/>
      <c r="E148" s="8"/>
      <c r="F148" s="8"/>
      <c r="G148" s="8"/>
      <c r="H148" s="8"/>
      <c r="I148" s="8"/>
      <c r="J148" s="8"/>
      <c r="K148" s="8"/>
      <c r="L148" s="8"/>
      <c r="M148" s="8"/>
      <c r="N148" s="8"/>
      <c r="O148" s="8"/>
      <c r="P148" s="8"/>
      <c r="Q148" s="8"/>
      <c r="R148" s="64"/>
      <c r="S148" s="8"/>
      <c r="T148" s="8"/>
      <c r="U148" s="8"/>
      <c r="V148" s="8"/>
      <c r="W148" s="8"/>
      <c r="X148" s="8"/>
      <c r="Y148" s="8"/>
      <c r="Z148" s="8"/>
      <c r="AA148" s="8"/>
      <c r="AI148" s="275"/>
      <c r="AJ148" s="275"/>
      <c r="AK148" s="275"/>
      <c r="AL148" s="275"/>
      <c r="AM148" s="275"/>
      <c r="AN148" s="275"/>
      <c r="AO148" s="275"/>
      <c r="AP148" s="8"/>
    </row>
    <row r="149" spans="1:42" ht="14.4" customHeight="1" x14ac:dyDescent="0.35">
      <c r="A149" s="8"/>
      <c r="B149" s="892"/>
      <c r="C149" s="8"/>
      <c r="D149" s="8"/>
      <c r="E149" s="8"/>
      <c r="F149" s="8"/>
      <c r="G149" s="8"/>
      <c r="H149" s="8"/>
      <c r="I149" s="8"/>
      <c r="J149" s="8"/>
      <c r="K149" s="8"/>
      <c r="L149" s="8"/>
      <c r="M149" s="8"/>
      <c r="N149" s="8"/>
      <c r="O149" s="8"/>
      <c r="P149" s="8"/>
      <c r="Q149" s="8"/>
      <c r="R149" s="64"/>
      <c r="S149" s="8"/>
      <c r="T149" s="8"/>
      <c r="U149" s="8"/>
      <c r="V149" s="8"/>
      <c r="W149" s="8"/>
      <c r="X149" s="8"/>
      <c r="Y149" s="8"/>
      <c r="Z149" s="8"/>
      <c r="AA149" s="8"/>
      <c r="AI149" s="275"/>
      <c r="AJ149" s="275"/>
      <c r="AK149" s="275"/>
      <c r="AL149" s="275"/>
      <c r="AM149" s="275"/>
      <c r="AN149" s="275"/>
      <c r="AO149" s="275"/>
      <c r="AP149" s="8"/>
    </row>
    <row r="150" spans="1:42" ht="14.4" customHeight="1" x14ac:dyDescent="0.35">
      <c r="A150" s="8"/>
      <c r="B150" s="892"/>
      <c r="C150" s="8"/>
      <c r="D150" s="8"/>
      <c r="E150" s="8"/>
      <c r="F150" s="8"/>
      <c r="G150" s="8"/>
      <c r="H150" s="8"/>
      <c r="I150" s="8"/>
      <c r="J150" s="8"/>
      <c r="K150" s="8"/>
      <c r="L150" s="8"/>
      <c r="M150" s="8"/>
      <c r="N150" s="8"/>
      <c r="O150" s="8"/>
      <c r="P150" s="8"/>
      <c r="Q150" s="8"/>
      <c r="R150" s="64"/>
      <c r="S150" s="8"/>
      <c r="T150" s="8"/>
      <c r="U150" s="8"/>
      <c r="V150" s="8"/>
      <c r="W150" s="8"/>
      <c r="X150" s="8"/>
      <c r="Y150" s="8"/>
      <c r="Z150" s="8"/>
      <c r="AA150" s="8"/>
      <c r="AI150" s="275"/>
      <c r="AJ150" s="275"/>
      <c r="AK150" s="275"/>
      <c r="AL150" s="275"/>
      <c r="AM150" s="275"/>
      <c r="AN150" s="275"/>
      <c r="AO150" s="275"/>
      <c r="AP150" s="8"/>
    </row>
    <row r="151" spans="1:42" ht="14.4" customHeight="1" x14ac:dyDescent="0.35">
      <c r="A151" s="8"/>
      <c r="B151" s="892"/>
      <c r="C151" s="8"/>
      <c r="D151" s="8"/>
      <c r="E151" s="8"/>
      <c r="F151" s="8"/>
      <c r="G151" s="8"/>
      <c r="H151" s="8"/>
      <c r="I151" s="8"/>
      <c r="J151" s="8"/>
      <c r="K151" s="8"/>
      <c r="L151" s="8"/>
      <c r="M151" s="8"/>
      <c r="N151" s="8"/>
      <c r="O151" s="8"/>
      <c r="P151" s="8"/>
      <c r="Q151" s="8"/>
      <c r="R151" s="64"/>
      <c r="S151" s="8"/>
      <c r="T151" s="8"/>
      <c r="U151" s="8"/>
      <c r="V151" s="8"/>
      <c r="W151" s="8"/>
      <c r="X151" s="8"/>
      <c r="Y151" s="8"/>
      <c r="Z151" s="8"/>
      <c r="AA151" s="8"/>
      <c r="AI151" s="275"/>
      <c r="AJ151" s="275"/>
      <c r="AK151" s="275"/>
      <c r="AL151" s="275"/>
      <c r="AM151" s="275"/>
      <c r="AN151" s="275"/>
      <c r="AO151" s="275"/>
      <c r="AP151" s="8"/>
    </row>
    <row r="152" spans="1:42" ht="14.4" customHeight="1" x14ac:dyDescent="0.35">
      <c r="A152" s="8"/>
      <c r="B152" s="892"/>
      <c r="C152" s="8"/>
      <c r="D152" s="8"/>
      <c r="E152" s="8"/>
      <c r="F152" s="8"/>
      <c r="G152" s="8"/>
      <c r="H152" s="8"/>
      <c r="I152" s="8"/>
      <c r="J152" s="8"/>
      <c r="K152" s="8"/>
      <c r="L152" s="8"/>
      <c r="M152" s="8"/>
      <c r="N152" s="8"/>
      <c r="O152" s="8"/>
      <c r="P152" s="8"/>
      <c r="Q152" s="8"/>
      <c r="R152" s="64"/>
      <c r="S152" s="8"/>
      <c r="T152" s="8"/>
      <c r="U152" s="8"/>
      <c r="V152" s="8"/>
      <c r="W152" s="8"/>
      <c r="X152" s="8"/>
      <c r="Y152" s="8"/>
      <c r="Z152" s="8"/>
      <c r="AA152" s="8"/>
      <c r="AI152" s="275"/>
      <c r="AJ152" s="275"/>
      <c r="AK152" s="275"/>
      <c r="AL152" s="275"/>
      <c r="AM152" s="275"/>
      <c r="AN152" s="275"/>
      <c r="AO152" s="275"/>
      <c r="AP152" s="8"/>
    </row>
    <row r="153" spans="1:42" ht="14.4" customHeight="1" x14ac:dyDescent="0.35">
      <c r="A153" s="8"/>
      <c r="B153" s="892"/>
      <c r="C153" s="8"/>
      <c r="D153" s="8"/>
      <c r="E153" s="8"/>
      <c r="F153" s="8"/>
      <c r="G153" s="8"/>
      <c r="H153" s="8"/>
      <c r="I153" s="8"/>
      <c r="J153" s="8"/>
      <c r="K153" s="8"/>
      <c r="L153" s="8"/>
      <c r="M153" s="8"/>
      <c r="N153" s="8"/>
      <c r="O153" s="8"/>
      <c r="P153" s="8"/>
      <c r="Q153" s="8"/>
      <c r="R153" s="64"/>
      <c r="S153" s="8"/>
      <c r="T153" s="8"/>
      <c r="U153" s="8"/>
      <c r="V153" s="8"/>
      <c r="W153" s="8"/>
      <c r="X153" s="8"/>
      <c r="Y153" s="8"/>
      <c r="Z153" s="8"/>
      <c r="AA153" s="8"/>
      <c r="AI153" s="275"/>
      <c r="AJ153" s="275"/>
      <c r="AK153" s="275"/>
      <c r="AL153" s="275"/>
      <c r="AM153" s="275"/>
      <c r="AN153" s="275"/>
      <c r="AO153" s="275"/>
      <c r="AP153" s="8"/>
    </row>
    <row r="154" spans="1:42" ht="14.4" customHeight="1" x14ac:dyDescent="0.35">
      <c r="A154" s="8"/>
      <c r="B154" s="892"/>
      <c r="C154" s="8"/>
      <c r="D154" s="8"/>
      <c r="E154" s="8"/>
      <c r="F154" s="8"/>
      <c r="G154" s="8"/>
      <c r="H154" s="8"/>
      <c r="I154" s="8"/>
      <c r="J154" s="8"/>
      <c r="K154" s="8"/>
      <c r="L154" s="8"/>
      <c r="M154" s="8"/>
      <c r="N154" s="8"/>
      <c r="O154" s="8"/>
      <c r="P154" s="8"/>
      <c r="Q154" s="8"/>
      <c r="R154" s="64"/>
      <c r="S154" s="8"/>
      <c r="T154" s="8"/>
      <c r="U154" s="8"/>
      <c r="V154" s="8"/>
      <c r="W154" s="8"/>
      <c r="X154" s="8"/>
      <c r="Y154" s="8"/>
      <c r="Z154" s="8"/>
      <c r="AA154" s="8"/>
      <c r="AI154" s="275"/>
      <c r="AJ154" s="275"/>
      <c r="AK154" s="275"/>
      <c r="AL154" s="275"/>
      <c r="AM154" s="275"/>
      <c r="AN154" s="275"/>
      <c r="AO154" s="275"/>
      <c r="AP154" s="8"/>
    </row>
    <row r="155" spans="1:42" ht="14.4" customHeight="1" x14ac:dyDescent="0.35">
      <c r="A155" s="8"/>
      <c r="B155" s="892"/>
      <c r="C155" s="8"/>
      <c r="D155" s="8"/>
      <c r="E155" s="8"/>
      <c r="F155" s="8"/>
      <c r="G155" s="8"/>
      <c r="H155" s="8"/>
      <c r="I155" s="8"/>
      <c r="J155" s="8"/>
      <c r="K155" s="8"/>
      <c r="L155" s="8"/>
      <c r="M155" s="8"/>
      <c r="N155" s="8"/>
      <c r="O155" s="8"/>
      <c r="P155" s="8"/>
      <c r="Q155" s="8"/>
      <c r="R155" s="64"/>
      <c r="S155" s="8"/>
      <c r="T155" s="8"/>
      <c r="U155" s="8"/>
      <c r="V155" s="8"/>
      <c r="W155" s="8"/>
      <c r="X155" s="8"/>
      <c r="Y155" s="8"/>
      <c r="Z155" s="8"/>
      <c r="AA155" s="8"/>
      <c r="AI155" s="275"/>
      <c r="AJ155" s="275"/>
      <c r="AK155" s="275"/>
      <c r="AL155" s="275"/>
      <c r="AM155" s="275"/>
      <c r="AN155" s="275"/>
      <c r="AO155" s="275"/>
      <c r="AP155" s="8"/>
    </row>
    <row r="156" spans="1:42" ht="14.4" customHeight="1" x14ac:dyDescent="0.35">
      <c r="A156" s="8"/>
      <c r="B156" s="892"/>
      <c r="C156" s="8"/>
      <c r="D156" s="8"/>
      <c r="E156" s="8"/>
      <c r="F156" s="8"/>
      <c r="G156" s="8"/>
      <c r="H156" s="8"/>
      <c r="I156" s="8"/>
      <c r="J156" s="8"/>
      <c r="K156" s="8"/>
      <c r="L156" s="8"/>
      <c r="M156" s="8"/>
      <c r="N156" s="8"/>
      <c r="O156" s="8"/>
      <c r="P156" s="8"/>
      <c r="Q156" s="8"/>
      <c r="R156" s="64"/>
      <c r="S156" s="8"/>
      <c r="T156" s="8"/>
      <c r="U156" s="8"/>
      <c r="V156" s="8"/>
      <c r="W156" s="8"/>
      <c r="X156" s="8"/>
      <c r="Y156" s="8"/>
      <c r="Z156" s="8"/>
      <c r="AA156" s="8"/>
      <c r="AI156" s="275"/>
      <c r="AJ156" s="275"/>
      <c r="AK156" s="275"/>
      <c r="AL156" s="275"/>
      <c r="AM156" s="275"/>
      <c r="AN156" s="275"/>
      <c r="AO156" s="275"/>
      <c r="AP156" s="8"/>
    </row>
    <row r="157" spans="1:42" ht="14.4" customHeight="1" x14ac:dyDescent="0.35">
      <c r="A157" s="8"/>
      <c r="B157" s="892"/>
      <c r="C157" s="8"/>
      <c r="D157" s="8"/>
      <c r="E157" s="8"/>
      <c r="F157" s="8"/>
      <c r="G157" s="8"/>
      <c r="H157" s="8"/>
      <c r="I157" s="8"/>
      <c r="J157" s="8"/>
      <c r="K157" s="8"/>
      <c r="L157" s="8"/>
      <c r="M157" s="8"/>
      <c r="N157" s="8"/>
      <c r="O157" s="8"/>
      <c r="P157" s="8"/>
      <c r="Q157" s="8"/>
      <c r="R157" s="64"/>
      <c r="S157" s="8"/>
      <c r="T157" s="8"/>
      <c r="U157" s="8"/>
      <c r="V157" s="8"/>
      <c r="W157" s="8"/>
      <c r="X157" s="8"/>
      <c r="Y157" s="8"/>
      <c r="Z157" s="8"/>
      <c r="AA157" s="8"/>
      <c r="AI157" s="275"/>
      <c r="AJ157" s="275"/>
      <c r="AK157" s="275"/>
      <c r="AL157" s="275"/>
      <c r="AM157" s="275"/>
      <c r="AN157" s="275"/>
      <c r="AO157" s="275"/>
      <c r="AP157" s="8"/>
    </row>
    <row r="158" spans="1:42" ht="14.4" customHeight="1" x14ac:dyDescent="0.35">
      <c r="A158" s="8"/>
      <c r="B158" s="892"/>
      <c r="C158" s="8"/>
      <c r="D158" s="8"/>
      <c r="E158" s="8"/>
      <c r="F158" s="8"/>
      <c r="G158" s="8"/>
      <c r="H158" s="8"/>
      <c r="I158" s="8"/>
      <c r="J158" s="8"/>
      <c r="K158" s="8"/>
      <c r="L158" s="8"/>
      <c r="M158" s="8"/>
      <c r="N158" s="8"/>
      <c r="O158" s="8"/>
      <c r="P158" s="8"/>
      <c r="Q158" s="8"/>
      <c r="R158" s="64"/>
      <c r="S158" s="8"/>
      <c r="T158" s="8"/>
      <c r="U158" s="8"/>
      <c r="V158" s="8"/>
      <c r="W158" s="8"/>
      <c r="X158" s="8"/>
      <c r="Y158" s="8"/>
      <c r="Z158" s="8"/>
      <c r="AA158" s="8"/>
      <c r="AI158" s="275"/>
      <c r="AJ158" s="275"/>
      <c r="AK158" s="275"/>
      <c r="AL158" s="275"/>
      <c r="AM158" s="275"/>
      <c r="AN158" s="275"/>
      <c r="AO158" s="275"/>
      <c r="AP158" s="8"/>
    </row>
    <row r="159" spans="1:42" ht="14.4" customHeight="1" x14ac:dyDescent="0.35">
      <c r="A159" s="8"/>
      <c r="B159" s="892"/>
      <c r="C159" s="8"/>
      <c r="D159" s="8"/>
      <c r="E159" s="8"/>
      <c r="F159" s="8"/>
      <c r="G159" s="8"/>
      <c r="H159" s="8"/>
      <c r="I159" s="8"/>
      <c r="J159" s="8"/>
      <c r="K159" s="8"/>
      <c r="L159" s="8"/>
      <c r="M159" s="8"/>
      <c r="N159" s="8"/>
      <c r="O159" s="8"/>
      <c r="P159" s="8"/>
      <c r="Q159" s="8"/>
      <c r="R159" s="64"/>
      <c r="S159" s="8"/>
      <c r="T159" s="8"/>
      <c r="U159" s="8"/>
      <c r="V159" s="8"/>
      <c r="W159" s="8"/>
      <c r="X159" s="8"/>
      <c r="Y159" s="8"/>
      <c r="Z159" s="8"/>
      <c r="AA159" s="8"/>
      <c r="AI159" s="275"/>
      <c r="AJ159" s="275"/>
      <c r="AK159" s="275"/>
      <c r="AL159" s="275"/>
      <c r="AM159" s="275"/>
      <c r="AN159" s="275"/>
      <c r="AO159" s="275"/>
      <c r="AP159" s="8"/>
    </row>
    <row r="160" spans="1:42" ht="14.4" customHeight="1" x14ac:dyDescent="0.35">
      <c r="A160" s="8"/>
      <c r="B160" s="892"/>
      <c r="C160" s="8"/>
      <c r="D160" s="8"/>
      <c r="E160" s="8"/>
      <c r="F160" s="8"/>
      <c r="G160" s="8"/>
      <c r="H160" s="8"/>
      <c r="I160" s="8"/>
      <c r="J160" s="8"/>
      <c r="K160" s="8"/>
      <c r="L160" s="8"/>
      <c r="M160" s="8"/>
      <c r="N160" s="8"/>
      <c r="O160" s="8"/>
      <c r="P160" s="8"/>
      <c r="Q160" s="8"/>
      <c r="R160" s="64"/>
      <c r="S160" s="8"/>
      <c r="T160" s="8"/>
      <c r="U160" s="8"/>
      <c r="V160" s="8"/>
      <c r="W160" s="8"/>
      <c r="X160" s="8"/>
      <c r="Y160" s="8"/>
      <c r="Z160" s="8"/>
      <c r="AA160" s="8"/>
      <c r="AI160" s="275"/>
      <c r="AJ160" s="275"/>
      <c r="AK160" s="275"/>
      <c r="AL160" s="275"/>
      <c r="AM160" s="275"/>
      <c r="AN160" s="275"/>
      <c r="AO160" s="275"/>
      <c r="AP160" s="8"/>
    </row>
    <row r="161" spans="1:42" ht="14.4" customHeight="1" x14ac:dyDescent="0.35">
      <c r="A161" s="8"/>
      <c r="B161" s="892"/>
      <c r="C161" s="8"/>
      <c r="D161" s="8"/>
      <c r="E161" s="8"/>
      <c r="F161" s="8"/>
      <c r="G161" s="8"/>
      <c r="H161" s="8"/>
      <c r="I161" s="8"/>
      <c r="J161" s="8"/>
      <c r="K161" s="8"/>
      <c r="L161" s="8"/>
      <c r="M161" s="8"/>
      <c r="N161" s="8"/>
      <c r="O161" s="8"/>
      <c r="P161" s="8"/>
      <c r="Q161" s="8"/>
      <c r="R161" s="64"/>
      <c r="S161" s="8"/>
      <c r="T161" s="8"/>
      <c r="U161" s="8"/>
      <c r="V161" s="8"/>
      <c r="W161" s="8"/>
      <c r="X161" s="8"/>
      <c r="Y161" s="8"/>
      <c r="Z161" s="8"/>
      <c r="AA161" s="8"/>
      <c r="AI161" s="275"/>
      <c r="AJ161" s="275"/>
      <c r="AK161" s="275"/>
      <c r="AL161" s="275"/>
      <c r="AM161" s="275"/>
      <c r="AN161" s="275"/>
      <c r="AO161" s="275"/>
      <c r="AP161" s="8"/>
    </row>
    <row r="162" spans="1:42" ht="14.4" customHeight="1" x14ac:dyDescent="0.35">
      <c r="A162" s="8"/>
      <c r="B162" s="892"/>
      <c r="C162" s="8"/>
      <c r="D162" s="8"/>
      <c r="E162" s="8"/>
      <c r="F162" s="8"/>
      <c r="G162" s="8"/>
      <c r="H162" s="8"/>
      <c r="I162" s="8"/>
      <c r="J162" s="8"/>
      <c r="K162" s="8"/>
      <c r="L162" s="8"/>
      <c r="M162" s="8"/>
      <c r="N162" s="8"/>
      <c r="O162" s="8"/>
      <c r="P162" s="8"/>
      <c r="Q162" s="8"/>
      <c r="R162" s="64"/>
      <c r="S162" s="8"/>
      <c r="T162" s="8"/>
      <c r="U162" s="8"/>
      <c r="V162" s="8"/>
      <c r="W162" s="8"/>
      <c r="X162" s="8"/>
      <c r="Y162" s="8"/>
      <c r="Z162" s="8"/>
      <c r="AA162" s="8"/>
      <c r="AI162" s="275"/>
      <c r="AJ162" s="275"/>
      <c r="AK162" s="275"/>
      <c r="AL162" s="275"/>
      <c r="AM162" s="275"/>
      <c r="AN162" s="275"/>
      <c r="AO162" s="275"/>
      <c r="AP162" s="8"/>
    </row>
    <row r="163" spans="1:42" ht="14.4" customHeight="1" x14ac:dyDescent="0.35">
      <c r="A163" s="8"/>
      <c r="B163" s="892"/>
      <c r="C163" s="8"/>
      <c r="D163" s="8"/>
      <c r="E163" s="8"/>
      <c r="F163" s="8"/>
      <c r="G163" s="8"/>
      <c r="H163" s="8"/>
      <c r="I163" s="8"/>
      <c r="J163" s="8"/>
      <c r="K163" s="8"/>
      <c r="L163" s="8"/>
      <c r="M163" s="8"/>
      <c r="N163" s="8"/>
      <c r="O163" s="8"/>
      <c r="P163" s="8"/>
      <c r="Q163" s="8"/>
      <c r="R163" s="64"/>
      <c r="S163" s="8"/>
      <c r="T163" s="8"/>
      <c r="U163" s="8"/>
      <c r="V163" s="8"/>
      <c r="W163" s="8"/>
      <c r="X163" s="8"/>
      <c r="Y163" s="8"/>
      <c r="Z163" s="8"/>
      <c r="AA163" s="8"/>
      <c r="AI163" s="275"/>
      <c r="AJ163" s="275"/>
      <c r="AK163" s="275"/>
      <c r="AL163" s="275"/>
      <c r="AM163" s="275"/>
      <c r="AN163" s="275"/>
      <c r="AO163" s="275"/>
      <c r="AP163" s="8"/>
    </row>
    <row r="164" spans="1:42" ht="14.4" customHeight="1" x14ac:dyDescent="0.35">
      <c r="A164" s="8"/>
      <c r="B164" s="892"/>
      <c r="C164" s="8"/>
      <c r="D164" s="8"/>
      <c r="E164" s="8"/>
      <c r="F164" s="8"/>
      <c r="G164" s="8"/>
      <c r="H164" s="8"/>
      <c r="I164" s="8"/>
      <c r="J164" s="8"/>
      <c r="K164" s="8"/>
      <c r="L164" s="8"/>
      <c r="M164" s="8"/>
      <c r="N164" s="8"/>
      <c r="O164" s="8"/>
      <c r="P164" s="8"/>
      <c r="Q164" s="8"/>
      <c r="R164" s="64"/>
      <c r="S164" s="8"/>
      <c r="T164" s="8"/>
      <c r="U164" s="8"/>
      <c r="V164" s="8"/>
      <c r="W164" s="8"/>
      <c r="X164" s="8"/>
      <c r="Y164" s="8"/>
      <c r="Z164" s="8"/>
      <c r="AA164" s="8"/>
      <c r="AI164" s="275"/>
      <c r="AJ164" s="275"/>
      <c r="AK164" s="275"/>
      <c r="AL164" s="275"/>
      <c r="AM164" s="275"/>
      <c r="AN164" s="275"/>
      <c r="AO164" s="275"/>
      <c r="AP164" s="8"/>
    </row>
    <row r="165" spans="1:42" ht="14.4" customHeight="1" x14ac:dyDescent="0.35">
      <c r="A165" s="8"/>
      <c r="B165" s="892"/>
      <c r="C165" s="8"/>
      <c r="D165" s="8"/>
      <c r="E165" s="8"/>
      <c r="F165" s="8"/>
      <c r="G165" s="8"/>
      <c r="H165" s="8"/>
      <c r="I165" s="8"/>
      <c r="J165" s="8"/>
      <c r="K165" s="8"/>
      <c r="L165" s="8"/>
      <c r="M165" s="8"/>
      <c r="N165" s="8"/>
      <c r="O165" s="8"/>
      <c r="P165" s="8"/>
      <c r="Q165" s="8"/>
      <c r="R165" s="64"/>
      <c r="S165" s="8"/>
      <c r="T165" s="8"/>
      <c r="U165" s="8"/>
      <c r="V165" s="8"/>
      <c r="W165" s="8"/>
      <c r="X165" s="8"/>
      <c r="Y165" s="8"/>
      <c r="Z165" s="8"/>
      <c r="AA165" s="8"/>
      <c r="AI165" s="275"/>
      <c r="AJ165" s="275"/>
      <c r="AK165" s="275"/>
      <c r="AL165" s="275"/>
      <c r="AM165" s="275"/>
      <c r="AN165" s="275"/>
      <c r="AO165" s="275"/>
      <c r="AP165" s="8"/>
    </row>
    <row r="166" spans="1:42" ht="14.4" customHeight="1" x14ac:dyDescent="0.35">
      <c r="A166" s="8"/>
      <c r="B166" s="892"/>
      <c r="C166" s="8"/>
      <c r="D166" s="8"/>
      <c r="E166" s="8"/>
      <c r="F166" s="8"/>
      <c r="G166" s="8"/>
      <c r="H166" s="8"/>
      <c r="I166" s="8"/>
      <c r="J166" s="8"/>
      <c r="K166" s="8"/>
      <c r="L166" s="8"/>
      <c r="M166" s="8"/>
      <c r="N166" s="8"/>
      <c r="O166" s="8"/>
      <c r="P166" s="8"/>
      <c r="Q166" s="8"/>
      <c r="R166" s="64"/>
      <c r="S166" s="8"/>
      <c r="T166" s="8"/>
      <c r="U166" s="8"/>
      <c r="V166" s="8"/>
      <c r="W166" s="8"/>
      <c r="X166" s="8"/>
      <c r="Y166" s="8"/>
      <c r="Z166" s="8"/>
      <c r="AA166" s="8"/>
      <c r="AI166" s="275"/>
      <c r="AJ166" s="275"/>
      <c r="AK166" s="275"/>
      <c r="AL166" s="275"/>
      <c r="AM166" s="275"/>
      <c r="AN166" s="275"/>
      <c r="AO166" s="275"/>
      <c r="AP166" s="8"/>
    </row>
    <row r="167" spans="1:42" ht="14.4" customHeight="1" x14ac:dyDescent="0.35">
      <c r="A167" s="8"/>
      <c r="B167" s="892"/>
      <c r="C167" s="8"/>
      <c r="D167" s="8"/>
      <c r="E167" s="8"/>
      <c r="F167" s="8"/>
      <c r="G167" s="8"/>
      <c r="H167" s="8"/>
      <c r="I167" s="8"/>
      <c r="J167" s="8"/>
      <c r="K167" s="8"/>
      <c r="L167" s="8"/>
      <c r="M167" s="8"/>
      <c r="N167" s="8"/>
      <c r="O167" s="8"/>
      <c r="P167" s="8"/>
      <c r="Q167" s="8"/>
      <c r="R167" s="64"/>
      <c r="S167" s="8"/>
      <c r="T167" s="8"/>
      <c r="U167" s="8"/>
      <c r="V167" s="8"/>
      <c r="W167" s="8"/>
      <c r="X167" s="8"/>
      <c r="Y167" s="8"/>
      <c r="Z167" s="8"/>
      <c r="AA167" s="8"/>
      <c r="AI167" s="275"/>
      <c r="AJ167" s="275"/>
      <c r="AK167" s="275"/>
      <c r="AL167" s="275"/>
      <c r="AM167" s="275"/>
      <c r="AN167" s="275"/>
      <c r="AO167" s="275"/>
      <c r="AP167" s="8"/>
    </row>
    <row r="168" spans="1:42" ht="14.4" customHeight="1" x14ac:dyDescent="0.35">
      <c r="A168" s="8"/>
      <c r="B168" s="892"/>
      <c r="C168" s="8"/>
      <c r="D168" s="8"/>
      <c r="E168" s="8"/>
      <c r="F168" s="8"/>
      <c r="G168" s="8"/>
      <c r="H168" s="8"/>
      <c r="I168" s="8"/>
      <c r="J168" s="8"/>
      <c r="K168" s="8"/>
      <c r="L168" s="8"/>
      <c r="M168" s="8"/>
      <c r="N168" s="8"/>
      <c r="O168" s="8"/>
      <c r="P168" s="8"/>
      <c r="Q168" s="8"/>
      <c r="R168" s="64"/>
      <c r="S168" s="8"/>
      <c r="T168" s="8"/>
      <c r="U168" s="8"/>
      <c r="V168" s="8"/>
      <c r="W168" s="8"/>
      <c r="X168" s="8"/>
      <c r="Y168" s="8"/>
      <c r="Z168" s="8"/>
      <c r="AA168" s="8"/>
      <c r="AI168" s="275"/>
      <c r="AJ168" s="275"/>
      <c r="AK168" s="275"/>
      <c r="AL168" s="275"/>
      <c r="AM168" s="275"/>
      <c r="AN168" s="275"/>
      <c r="AO168" s="275"/>
      <c r="AP168" s="8"/>
    </row>
    <row r="169" spans="1:42" ht="14.4" customHeight="1" x14ac:dyDescent="0.35">
      <c r="A169" s="8"/>
      <c r="B169" s="892"/>
      <c r="C169" s="8"/>
      <c r="D169" s="8"/>
      <c r="E169" s="8"/>
      <c r="F169" s="8"/>
      <c r="G169" s="8"/>
      <c r="H169" s="8"/>
      <c r="I169" s="8"/>
      <c r="J169" s="8"/>
      <c r="K169" s="8"/>
      <c r="L169" s="8"/>
      <c r="M169" s="8"/>
      <c r="N169" s="8"/>
      <c r="O169" s="8"/>
      <c r="P169" s="8"/>
      <c r="Q169" s="8"/>
      <c r="R169" s="64"/>
      <c r="S169" s="8"/>
      <c r="T169" s="8"/>
      <c r="U169" s="8"/>
      <c r="V169" s="8"/>
      <c r="W169" s="8"/>
      <c r="X169" s="8"/>
      <c r="Y169" s="8"/>
      <c r="Z169" s="8"/>
      <c r="AA169" s="8"/>
      <c r="AI169" s="275"/>
      <c r="AJ169" s="275"/>
      <c r="AK169" s="275"/>
      <c r="AL169" s="275"/>
      <c r="AM169" s="275"/>
      <c r="AN169" s="275"/>
      <c r="AO169" s="275"/>
      <c r="AP169" s="8"/>
    </row>
    <row r="170" spans="1:42" ht="14.4" customHeight="1" x14ac:dyDescent="0.35">
      <c r="A170" s="8"/>
      <c r="B170" s="892"/>
      <c r="C170" s="8"/>
      <c r="D170" s="8"/>
      <c r="E170" s="8"/>
      <c r="F170" s="8"/>
      <c r="G170" s="8"/>
      <c r="H170" s="8"/>
      <c r="I170" s="8"/>
      <c r="J170" s="8"/>
      <c r="K170" s="8"/>
      <c r="L170" s="8"/>
      <c r="M170" s="8"/>
      <c r="N170" s="8"/>
      <c r="O170" s="8"/>
      <c r="P170" s="8"/>
      <c r="Q170" s="8"/>
      <c r="R170" s="64"/>
      <c r="S170" s="8"/>
      <c r="T170" s="8"/>
      <c r="U170" s="8"/>
      <c r="V170" s="8"/>
      <c r="W170" s="8"/>
      <c r="X170" s="8"/>
      <c r="Y170" s="8"/>
      <c r="Z170" s="8"/>
      <c r="AA170" s="8"/>
      <c r="AI170" s="275"/>
      <c r="AJ170" s="275"/>
      <c r="AK170" s="275"/>
      <c r="AL170" s="275"/>
      <c r="AM170" s="275"/>
      <c r="AN170" s="275"/>
      <c r="AO170" s="275"/>
      <c r="AP170" s="8"/>
    </row>
    <row r="171" spans="1:42" ht="14.4" customHeight="1" x14ac:dyDescent="0.35">
      <c r="A171" s="8"/>
      <c r="B171" s="892"/>
      <c r="C171" s="8"/>
      <c r="D171" s="8"/>
      <c r="E171" s="8"/>
      <c r="F171" s="8"/>
      <c r="G171" s="8"/>
      <c r="H171" s="8"/>
      <c r="I171" s="8"/>
      <c r="J171" s="8"/>
      <c r="K171" s="8"/>
      <c r="L171" s="8"/>
      <c r="M171" s="8"/>
      <c r="N171" s="8"/>
      <c r="O171" s="8"/>
      <c r="P171" s="8"/>
      <c r="Q171" s="8"/>
      <c r="R171" s="64"/>
      <c r="S171" s="8"/>
      <c r="T171" s="8"/>
      <c r="U171" s="8"/>
      <c r="V171" s="8"/>
      <c r="W171" s="8"/>
      <c r="X171" s="8"/>
      <c r="Y171" s="8"/>
      <c r="Z171" s="8"/>
      <c r="AA171" s="8"/>
      <c r="AI171" s="275"/>
      <c r="AJ171" s="275"/>
      <c r="AK171" s="275"/>
      <c r="AL171" s="275"/>
      <c r="AM171" s="275"/>
      <c r="AN171" s="275"/>
      <c r="AO171" s="275"/>
      <c r="AP171" s="8"/>
    </row>
    <row r="172" spans="1:42" ht="14.4" customHeight="1" x14ac:dyDescent="0.35">
      <c r="A172" s="8"/>
      <c r="B172" s="892"/>
      <c r="C172" s="8"/>
      <c r="D172" s="8"/>
      <c r="E172" s="8"/>
      <c r="F172" s="8"/>
      <c r="G172" s="8"/>
      <c r="H172" s="8"/>
      <c r="I172" s="8"/>
      <c r="J172" s="8"/>
      <c r="K172" s="8"/>
      <c r="L172" s="8"/>
      <c r="M172" s="8"/>
      <c r="N172" s="8"/>
      <c r="O172" s="8"/>
      <c r="P172" s="8"/>
      <c r="Q172" s="8"/>
      <c r="R172" s="64"/>
      <c r="S172" s="8"/>
      <c r="T172" s="8"/>
      <c r="U172" s="8"/>
      <c r="V172" s="8"/>
      <c r="W172" s="8"/>
      <c r="X172" s="8"/>
      <c r="Y172" s="8"/>
      <c r="Z172" s="8"/>
      <c r="AA172" s="8"/>
      <c r="AI172" s="275"/>
      <c r="AJ172" s="275"/>
      <c r="AK172" s="275"/>
      <c r="AL172" s="275"/>
      <c r="AM172" s="275"/>
      <c r="AN172" s="275"/>
      <c r="AO172" s="275"/>
      <c r="AP172" s="8"/>
    </row>
    <row r="173" spans="1:42" ht="14.4" customHeight="1" x14ac:dyDescent="0.35">
      <c r="A173" s="8"/>
      <c r="B173" s="892"/>
      <c r="C173" s="8"/>
      <c r="D173" s="8"/>
      <c r="E173" s="8"/>
      <c r="F173" s="8"/>
      <c r="G173" s="8"/>
      <c r="H173" s="8"/>
      <c r="I173" s="8"/>
      <c r="J173" s="8"/>
      <c r="K173" s="8"/>
      <c r="L173" s="8"/>
      <c r="M173" s="8"/>
      <c r="N173" s="8"/>
      <c r="O173" s="8"/>
      <c r="P173" s="8"/>
      <c r="Q173" s="8"/>
      <c r="R173" s="64"/>
      <c r="S173" s="8"/>
      <c r="T173" s="8"/>
      <c r="U173" s="8"/>
      <c r="V173" s="8"/>
      <c r="W173" s="8"/>
      <c r="X173" s="8"/>
      <c r="Y173" s="8"/>
      <c r="Z173" s="8"/>
      <c r="AA173" s="8"/>
      <c r="AI173" s="275"/>
      <c r="AJ173" s="275"/>
      <c r="AK173" s="275"/>
      <c r="AL173" s="275"/>
      <c r="AM173" s="275"/>
      <c r="AN173" s="275"/>
      <c r="AO173" s="275"/>
      <c r="AP173" s="8"/>
    </row>
    <row r="174" spans="1:42" ht="14.4" customHeight="1" x14ac:dyDescent="0.35">
      <c r="A174" s="8"/>
      <c r="B174" s="892"/>
      <c r="C174" s="8"/>
      <c r="D174" s="8"/>
      <c r="E174" s="8"/>
      <c r="F174" s="8"/>
      <c r="G174" s="8"/>
      <c r="H174" s="8"/>
      <c r="I174" s="8"/>
      <c r="J174" s="8"/>
      <c r="K174" s="8"/>
      <c r="L174" s="8"/>
      <c r="M174" s="8"/>
      <c r="N174" s="8"/>
      <c r="O174" s="8"/>
      <c r="P174" s="8"/>
      <c r="Q174" s="8"/>
      <c r="R174" s="64"/>
      <c r="S174" s="8"/>
      <c r="T174" s="8"/>
      <c r="U174" s="8"/>
      <c r="V174" s="8"/>
      <c r="W174" s="8"/>
      <c r="X174" s="8"/>
      <c r="Y174" s="8"/>
      <c r="Z174" s="8"/>
      <c r="AA174" s="8"/>
      <c r="AI174" s="275"/>
      <c r="AJ174" s="275"/>
      <c r="AK174" s="275"/>
      <c r="AL174" s="275"/>
      <c r="AM174" s="275"/>
      <c r="AN174" s="275"/>
      <c r="AO174" s="275"/>
      <c r="AP174" s="8"/>
    </row>
    <row r="175" spans="1:42" ht="14.4" customHeight="1" x14ac:dyDescent="0.35">
      <c r="A175" s="8"/>
      <c r="B175" s="892"/>
      <c r="C175" s="8"/>
      <c r="D175" s="8"/>
      <c r="E175" s="8"/>
      <c r="F175" s="8"/>
      <c r="G175" s="8"/>
      <c r="H175" s="8"/>
      <c r="I175" s="8"/>
      <c r="J175" s="8"/>
      <c r="K175" s="8"/>
      <c r="L175" s="8"/>
      <c r="M175" s="8"/>
      <c r="N175" s="8"/>
      <c r="O175" s="8"/>
      <c r="P175" s="8"/>
      <c r="Q175" s="8"/>
      <c r="R175" s="64"/>
      <c r="S175" s="8"/>
      <c r="T175" s="8"/>
      <c r="U175" s="8"/>
      <c r="V175" s="8"/>
      <c r="W175" s="8"/>
      <c r="X175" s="8"/>
      <c r="Y175" s="8"/>
      <c r="Z175" s="8"/>
      <c r="AA175" s="8"/>
      <c r="AI175" s="275"/>
      <c r="AJ175" s="275"/>
      <c r="AK175" s="275"/>
      <c r="AL175" s="275"/>
      <c r="AM175" s="275"/>
      <c r="AN175" s="275"/>
      <c r="AO175" s="275"/>
      <c r="AP175" s="8"/>
    </row>
    <row r="176" spans="1:42" ht="14.4" customHeight="1" x14ac:dyDescent="0.35">
      <c r="A176" s="8"/>
      <c r="B176" s="892"/>
      <c r="C176" s="8"/>
      <c r="D176" s="8"/>
      <c r="E176" s="8"/>
      <c r="F176" s="8"/>
      <c r="G176" s="8"/>
      <c r="H176" s="8"/>
      <c r="I176" s="8"/>
      <c r="J176" s="8"/>
      <c r="K176" s="8"/>
      <c r="L176" s="8"/>
      <c r="M176" s="8"/>
      <c r="N176" s="8"/>
      <c r="O176" s="8"/>
      <c r="P176" s="8"/>
      <c r="Q176" s="8"/>
      <c r="R176" s="64"/>
      <c r="S176" s="8"/>
      <c r="T176" s="8"/>
      <c r="U176" s="8"/>
      <c r="V176" s="8"/>
      <c r="W176" s="8"/>
      <c r="X176" s="8"/>
      <c r="Y176" s="8"/>
      <c r="Z176" s="8"/>
      <c r="AA176" s="8"/>
      <c r="AI176" s="275"/>
      <c r="AJ176" s="275"/>
      <c r="AK176" s="275"/>
      <c r="AL176" s="275"/>
      <c r="AM176" s="275"/>
      <c r="AN176" s="275"/>
      <c r="AO176" s="275"/>
      <c r="AP176" s="8"/>
    </row>
    <row r="177" spans="1:42" ht="14.4" customHeight="1" x14ac:dyDescent="0.35">
      <c r="A177" s="8"/>
      <c r="B177" s="892"/>
      <c r="C177" s="8"/>
      <c r="D177" s="8"/>
      <c r="E177" s="8"/>
      <c r="F177" s="8"/>
      <c r="G177" s="8"/>
      <c r="H177" s="8"/>
      <c r="I177" s="8"/>
      <c r="J177" s="8"/>
      <c r="K177" s="8"/>
      <c r="L177" s="8"/>
      <c r="M177" s="8"/>
      <c r="N177" s="8"/>
      <c r="O177" s="8"/>
      <c r="P177" s="8"/>
      <c r="Q177" s="8"/>
      <c r="R177" s="64"/>
      <c r="S177" s="8"/>
      <c r="T177" s="8"/>
      <c r="U177" s="8"/>
      <c r="V177" s="8"/>
      <c r="W177" s="8"/>
      <c r="X177" s="8"/>
      <c r="Y177" s="8"/>
      <c r="Z177" s="8"/>
      <c r="AA177" s="8"/>
      <c r="AI177" s="275"/>
      <c r="AJ177" s="275"/>
      <c r="AK177" s="275"/>
      <c r="AL177" s="275"/>
      <c r="AM177" s="275"/>
      <c r="AN177" s="275"/>
      <c r="AO177" s="275"/>
      <c r="AP177" s="8"/>
    </row>
    <row r="178" spans="1:42" ht="14.4" customHeight="1" x14ac:dyDescent="0.35">
      <c r="A178" s="8"/>
      <c r="B178" s="892"/>
      <c r="C178" s="8"/>
      <c r="D178" s="8"/>
      <c r="E178" s="8"/>
      <c r="F178" s="8"/>
      <c r="G178" s="8"/>
      <c r="H178" s="8"/>
      <c r="I178" s="8"/>
      <c r="J178" s="8"/>
      <c r="K178" s="8"/>
      <c r="L178" s="8"/>
      <c r="M178" s="8"/>
      <c r="N178" s="8"/>
      <c r="O178" s="8"/>
      <c r="P178" s="8"/>
      <c r="Q178" s="8"/>
      <c r="R178" s="64"/>
      <c r="S178" s="8"/>
      <c r="T178" s="8"/>
      <c r="U178" s="8"/>
      <c r="V178" s="8"/>
      <c r="W178" s="8"/>
      <c r="X178" s="8"/>
      <c r="Y178" s="8"/>
      <c r="Z178" s="8"/>
      <c r="AA178" s="8"/>
      <c r="AI178" s="275"/>
      <c r="AJ178" s="275"/>
      <c r="AK178" s="275"/>
      <c r="AL178" s="275"/>
      <c r="AM178" s="275"/>
      <c r="AN178" s="275"/>
      <c r="AO178" s="275"/>
      <c r="AP178" s="8"/>
    </row>
    <row r="179" spans="1:42" ht="14.4" customHeight="1" x14ac:dyDescent="0.35">
      <c r="A179" s="8"/>
      <c r="B179" s="892"/>
      <c r="C179" s="8"/>
      <c r="D179" s="8"/>
      <c r="E179" s="8"/>
      <c r="F179" s="8"/>
      <c r="G179" s="8"/>
      <c r="H179" s="8"/>
      <c r="I179" s="8"/>
      <c r="J179" s="8"/>
      <c r="K179" s="8"/>
      <c r="L179" s="8"/>
      <c r="M179" s="8"/>
      <c r="N179" s="8"/>
      <c r="O179" s="8"/>
      <c r="P179" s="8"/>
      <c r="Q179" s="8"/>
      <c r="R179" s="64"/>
      <c r="S179" s="8"/>
      <c r="T179" s="8"/>
      <c r="U179" s="8"/>
      <c r="V179" s="8"/>
      <c r="W179" s="8"/>
      <c r="X179" s="8"/>
      <c r="Y179" s="8"/>
      <c r="Z179" s="8"/>
      <c r="AA179" s="8"/>
      <c r="AI179" s="275"/>
      <c r="AJ179" s="275"/>
      <c r="AK179" s="275"/>
      <c r="AL179" s="275"/>
      <c r="AM179" s="275"/>
      <c r="AN179" s="275"/>
      <c r="AO179" s="275"/>
      <c r="AP179" s="8"/>
    </row>
    <row r="180" spans="1:42" ht="14.4" customHeight="1" x14ac:dyDescent="0.35">
      <c r="A180" s="8"/>
      <c r="B180" s="892"/>
      <c r="C180" s="8"/>
      <c r="D180" s="8"/>
      <c r="E180" s="8"/>
      <c r="F180" s="8"/>
      <c r="G180" s="8"/>
      <c r="H180" s="8"/>
      <c r="I180" s="8"/>
      <c r="J180" s="8"/>
      <c r="K180" s="8"/>
      <c r="L180" s="8"/>
      <c r="M180" s="8"/>
      <c r="N180" s="8"/>
      <c r="O180" s="8"/>
      <c r="P180" s="8"/>
      <c r="Q180" s="8"/>
      <c r="R180" s="64"/>
      <c r="S180" s="8"/>
      <c r="T180" s="8"/>
      <c r="U180" s="8"/>
      <c r="V180" s="8"/>
      <c r="W180" s="8"/>
      <c r="X180" s="8"/>
      <c r="Y180" s="8"/>
      <c r="Z180" s="8"/>
      <c r="AA180" s="8"/>
      <c r="AI180" s="275"/>
      <c r="AJ180" s="275"/>
      <c r="AK180" s="275"/>
      <c r="AL180" s="275"/>
      <c r="AM180" s="275"/>
      <c r="AN180" s="275"/>
      <c r="AO180" s="275"/>
      <c r="AP180" s="8"/>
    </row>
    <row r="181" spans="1:42" ht="14.4" customHeight="1" x14ac:dyDescent="0.35">
      <c r="A181" s="8"/>
      <c r="B181" s="892"/>
      <c r="C181" s="8"/>
      <c r="D181" s="8"/>
      <c r="E181" s="8"/>
      <c r="F181" s="8"/>
      <c r="G181" s="8"/>
      <c r="H181" s="8"/>
      <c r="I181" s="8"/>
      <c r="J181" s="8"/>
      <c r="K181" s="8"/>
      <c r="L181" s="8"/>
      <c r="M181" s="8"/>
      <c r="N181" s="8"/>
      <c r="O181" s="8"/>
      <c r="P181" s="8"/>
      <c r="Q181" s="8"/>
      <c r="R181" s="64"/>
      <c r="S181" s="8"/>
      <c r="T181" s="8"/>
      <c r="U181" s="8"/>
      <c r="V181" s="8"/>
      <c r="W181" s="8"/>
      <c r="X181" s="8"/>
      <c r="Y181" s="8"/>
      <c r="Z181" s="8"/>
      <c r="AA181" s="8"/>
      <c r="AI181" s="275"/>
      <c r="AJ181" s="275"/>
      <c r="AK181" s="275"/>
      <c r="AL181" s="275"/>
      <c r="AM181" s="275"/>
      <c r="AN181" s="275"/>
      <c r="AO181" s="275"/>
      <c r="AP181" s="8"/>
    </row>
    <row r="182" spans="1:42" ht="14.4" customHeight="1" x14ac:dyDescent="0.35">
      <c r="A182" s="8"/>
      <c r="B182" s="892"/>
      <c r="C182" s="8"/>
      <c r="D182" s="8"/>
      <c r="E182" s="8"/>
      <c r="F182" s="8"/>
      <c r="G182" s="8"/>
      <c r="H182" s="8"/>
      <c r="I182" s="8"/>
      <c r="J182" s="8"/>
      <c r="K182" s="8"/>
      <c r="L182" s="8"/>
      <c r="M182" s="8"/>
      <c r="N182" s="8"/>
      <c r="O182" s="8"/>
      <c r="P182" s="8"/>
      <c r="Q182" s="8"/>
      <c r="R182" s="64"/>
      <c r="S182" s="8"/>
      <c r="T182" s="8"/>
      <c r="U182" s="8"/>
      <c r="V182" s="8"/>
      <c r="W182" s="8"/>
      <c r="X182" s="8"/>
      <c r="Y182" s="8"/>
      <c r="Z182" s="8"/>
      <c r="AA182" s="8"/>
      <c r="AI182" s="275"/>
      <c r="AJ182" s="275"/>
      <c r="AK182" s="275"/>
      <c r="AL182" s="275"/>
      <c r="AM182" s="275"/>
      <c r="AN182" s="275"/>
      <c r="AO182" s="275"/>
      <c r="AP182" s="8"/>
    </row>
    <row r="183" spans="1:42" ht="14.4" customHeight="1" x14ac:dyDescent="0.35">
      <c r="A183" s="8"/>
      <c r="B183" s="892"/>
      <c r="C183" s="8"/>
      <c r="D183" s="8"/>
      <c r="E183" s="8"/>
      <c r="F183" s="8"/>
      <c r="G183" s="8"/>
      <c r="H183" s="8"/>
      <c r="I183" s="8"/>
      <c r="J183" s="8"/>
      <c r="K183" s="8"/>
      <c r="L183" s="8"/>
      <c r="M183" s="8"/>
      <c r="N183" s="8"/>
      <c r="O183" s="8"/>
      <c r="P183" s="8"/>
      <c r="Q183" s="8"/>
      <c r="R183" s="64"/>
      <c r="S183" s="8"/>
      <c r="T183" s="8"/>
      <c r="U183" s="8"/>
      <c r="V183" s="8"/>
      <c r="W183" s="8"/>
      <c r="X183" s="8"/>
      <c r="Y183" s="8"/>
      <c r="Z183" s="8"/>
      <c r="AA183" s="8"/>
      <c r="AI183" s="275"/>
      <c r="AJ183" s="275"/>
      <c r="AK183" s="275"/>
      <c r="AL183" s="275"/>
      <c r="AM183" s="275"/>
      <c r="AN183" s="275"/>
      <c r="AO183" s="275"/>
      <c r="AP183" s="8"/>
    </row>
    <row r="184" spans="1:42" ht="14.4" customHeight="1" x14ac:dyDescent="0.35">
      <c r="A184" s="8"/>
      <c r="B184" s="892"/>
      <c r="C184" s="8"/>
      <c r="D184" s="8"/>
      <c r="E184" s="8"/>
      <c r="F184" s="8"/>
      <c r="G184" s="8"/>
      <c r="H184" s="8"/>
      <c r="I184" s="8"/>
      <c r="J184" s="8"/>
      <c r="K184" s="8"/>
      <c r="L184" s="8"/>
      <c r="M184" s="8"/>
      <c r="N184" s="8"/>
      <c r="O184" s="8"/>
      <c r="P184" s="8"/>
      <c r="Q184" s="8"/>
      <c r="R184" s="64"/>
      <c r="S184" s="8"/>
      <c r="T184" s="8"/>
      <c r="U184" s="8"/>
      <c r="V184" s="8"/>
      <c r="W184" s="8"/>
      <c r="X184" s="8"/>
      <c r="Y184" s="8"/>
      <c r="Z184" s="8"/>
      <c r="AA184" s="8"/>
      <c r="AI184" s="275"/>
      <c r="AJ184" s="275"/>
      <c r="AK184" s="275"/>
      <c r="AL184" s="275"/>
      <c r="AM184" s="275"/>
      <c r="AN184" s="275"/>
      <c r="AO184" s="275"/>
      <c r="AP184" s="8"/>
    </row>
    <row r="185" spans="1:42" ht="14.4" customHeight="1" x14ac:dyDescent="0.35">
      <c r="A185" s="8"/>
      <c r="B185" s="892"/>
      <c r="C185" s="8"/>
      <c r="D185" s="8"/>
      <c r="E185" s="8"/>
      <c r="F185" s="8"/>
      <c r="G185" s="8"/>
      <c r="H185" s="8"/>
      <c r="I185" s="8"/>
      <c r="J185" s="8"/>
      <c r="K185" s="8"/>
      <c r="L185" s="8"/>
      <c r="M185" s="8"/>
      <c r="N185" s="8"/>
      <c r="O185" s="8"/>
      <c r="P185" s="8"/>
      <c r="Q185" s="8"/>
      <c r="R185" s="64"/>
      <c r="S185" s="8"/>
      <c r="T185" s="8"/>
      <c r="U185" s="8"/>
      <c r="V185" s="8"/>
      <c r="W185" s="8"/>
      <c r="X185" s="8"/>
      <c r="Y185" s="8"/>
      <c r="Z185" s="8"/>
      <c r="AA185" s="8"/>
      <c r="AI185" s="275"/>
      <c r="AJ185" s="275"/>
      <c r="AK185" s="275"/>
      <c r="AL185" s="275"/>
      <c r="AM185" s="275"/>
      <c r="AN185" s="275"/>
      <c r="AO185" s="275"/>
      <c r="AP185" s="8"/>
    </row>
    <row r="186" spans="1:42" ht="14.4" customHeight="1" x14ac:dyDescent="0.35">
      <c r="A186" s="8"/>
      <c r="B186" s="892"/>
      <c r="C186" s="8"/>
      <c r="D186" s="8"/>
      <c r="E186" s="8"/>
      <c r="F186" s="8"/>
      <c r="G186" s="8"/>
      <c r="H186" s="8"/>
      <c r="I186" s="8"/>
      <c r="J186" s="8"/>
      <c r="K186" s="8"/>
      <c r="L186" s="8"/>
      <c r="M186" s="8"/>
      <c r="N186" s="8"/>
      <c r="O186" s="8"/>
      <c r="P186" s="8"/>
      <c r="Q186" s="8"/>
      <c r="R186" s="64"/>
      <c r="S186" s="8"/>
      <c r="T186" s="8"/>
      <c r="U186" s="8"/>
      <c r="V186" s="8"/>
      <c r="W186" s="8"/>
      <c r="X186" s="8"/>
      <c r="Y186" s="8"/>
      <c r="Z186" s="8"/>
      <c r="AA186" s="8"/>
      <c r="AI186" s="275"/>
      <c r="AJ186" s="275"/>
      <c r="AK186" s="275"/>
      <c r="AL186" s="275"/>
      <c r="AM186" s="275"/>
      <c r="AN186" s="275"/>
      <c r="AO186" s="275"/>
      <c r="AP186" s="8"/>
    </row>
    <row r="187" spans="1:42" ht="14.4" customHeight="1" x14ac:dyDescent="0.35">
      <c r="A187" s="8"/>
      <c r="B187" s="892"/>
      <c r="C187" s="8"/>
      <c r="D187" s="8"/>
      <c r="E187" s="8"/>
      <c r="F187" s="8"/>
      <c r="G187" s="8"/>
      <c r="H187" s="8"/>
      <c r="I187" s="8"/>
      <c r="J187" s="8"/>
      <c r="K187" s="8"/>
      <c r="L187" s="8"/>
      <c r="M187" s="8"/>
      <c r="N187" s="8"/>
      <c r="O187" s="8"/>
      <c r="P187" s="8"/>
      <c r="Q187" s="8"/>
      <c r="R187" s="64"/>
      <c r="S187" s="8"/>
      <c r="T187" s="8"/>
      <c r="U187" s="8"/>
      <c r="V187" s="8"/>
      <c r="W187" s="8"/>
      <c r="X187" s="8"/>
      <c r="Y187" s="8"/>
      <c r="Z187" s="8"/>
      <c r="AA187" s="8"/>
      <c r="AI187" s="275"/>
      <c r="AJ187" s="275"/>
      <c r="AK187" s="275"/>
      <c r="AL187" s="275"/>
      <c r="AM187" s="275"/>
      <c r="AN187" s="275"/>
      <c r="AO187" s="275"/>
      <c r="AP187" s="8"/>
    </row>
    <row r="188" spans="1:42" ht="14.4" customHeight="1" x14ac:dyDescent="0.35">
      <c r="A188" s="8"/>
      <c r="B188" s="892"/>
      <c r="C188" s="8"/>
      <c r="D188" s="8"/>
      <c r="E188" s="8"/>
      <c r="F188" s="8"/>
      <c r="G188" s="8"/>
      <c r="H188" s="8"/>
      <c r="I188" s="8"/>
      <c r="J188" s="8"/>
      <c r="K188" s="8"/>
      <c r="L188" s="8"/>
      <c r="M188" s="8"/>
      <c r="N188" s="8"/>
      <c r="O188" s="8"/>
      <c r="P188" s="8"/>
      <c r="Q188" s="8"/>
      <c r="R188" s="64"/>
      <c r="S188" s="8"/>
      <c r="T188" s="8"/>
      <c r="U188" s="8"/>
      <c r="V188" s="8"/>
      <c r="W188" s="8"/>
      <c r="X188" s="8"/>
      <c r="Y188" s="8"/>
      <c r="Z188" s="8"/>
      <c r="AA188" s="8"/>
      <c r="AI188" s="275"/>
      <c r="AJ188" s="275"/>
      <c r="AK188" s="275"/>
      <c r="AL188" s="275"/>
      <c r="AM188" s="275"/>
      <c r="AN188" s="275"/>
      <c r="AO188" s="275"/>
      <c r="AP188" s="8"/>
    </row>
    <row r="189" spans="1:42" ht="14.4" customHeight="1" x14ac:dyDescent="0.35">
      <c r="A189" s="8"/>
      <c r="B189" s="892"/>
      <c r="C189" s="8"/>
      <c r="D189" s="8"/>
      <c r="E189" s="8"/>
      <c r="F189" s="8"/>
      <c r="G189" s="8"/>
      <c r="H189" s="8"/>
      <c r="I189" s="8"/>
      <c r="J189" s="8"/>
      <c r="K189" s="8"/>
      <c r="L189" s="8"/>
      <c r="M189" s="8"/>
      <c r="N189" s="8"/>
      <c r="O189" s="8"/>
      <c r="P189" s="8"/>
      <c r="Q189" s="8"/>
      <c r="R189" s="64"/>
      <c r="S189" s="8"/>
      <c r="T189" s="8"/>
      <c r="U189" s="8"/>
      <c r="V189" s="8"/>
      <c r="W189" s="8"/>
      <c r="X189" s="8"/>
      <c r="Y189" s="8"/>
      <c r="Z189" s="8"/>
      <c r="AA189" s="8"/>
      <c r="AI189" s="275"/>
      <c r="AJ189" s="275"/>
      <c r="AK189" s="275"/>
      <c r="AL189" s="275"/>
      <c r="AM189" s="275"/>
      <c r="AN189" s="275"/>
      <c r="AO189" s="275"/>
      <c r="AP189" s="8"/>
    </row>
    <row r="190" spans="1:42" ht="14.4" customHeight="1" x14ac:dyDescent="0.35">
      <c r="A190" s="8"/>
      <c r="B190" s="892"/>
      <c r="C190" s="8"/>
      <c r="D190" s="8"/>
      <c r="E190" s="8"/>
      <c r="F190" s="8"/>
      <c r="G190" s="8"/>
      <c r="H190" s="8"/>
      <c r="I190" s="8"/>
      <c r="J190" s="8"/>
      <c r="K190" s="8"/>
      <c r="L190" s="8"/>
      <c r="M190" s="8"/>
      <c r="N190" s="8"/>
      <c r="O190" s="8"/>
      <c r="P190" s="8"/>
      <c r="Q190" s="8"/>
      <c r="R190" s="64"/>
      <c r="S190" s="8"/>
      <c r="T190" s="8"/>
      <c r="U190" s="8"/>
      <c r="V190" s="8"/>
      <c r="W190" s="8"/>
      <c r="X190" s="8"/>
      <c r="Y190" s="8"/>
      <c r="Z190" s="8"/>
      <c r="AA190" s="8"/>
      <c r="AI190" s="275"/>
      <c r="AJ190" s="275"/>
      <c r="AK190" s="275"/>
      <c r="AL190" s="275"/>
      <c r="AM190" s="275"/>
      <c r="AN190" s="275"/>
      <c r="AO190" s="275"/>
      <c r="AP190" s="8"/>
    </row>
    <row r="191" spans="1:42" ht="14.4" customHeight="1" x14ac:dyDescent="0.35">
      <c r="A191" s="8"/>
      <c r="B191" s="892"/>
      <c r="C191" s="8"/>
      <c r="D191" s="8"/>
      <c r="E191" s="8"/>
      <c r="F191" s="8"/>
      <c r="G191" s="8"/>
      <c r="H191" s="8"/>
      <c r="I191" s="8"/>
      <c r="J191" s="8"/>
      <c r="K191" s="8"/>
      <c r="L191" s="8"/>
      <c r="M191" s="8"/>
      <c r="N191" s="8"/>
      <c r="O191" s="8"/>
      <c r="P191" s="8"/>
      <c r="Q191" s="8"/>
      <c r="R191" s="64"/>
      <c r="S191" s="8"/>
      <c r="T191" s="8"/>
      <c r="U191" s="8"/>
      <c r="V191" s="8"/>
      <c r="W191" s="8"/>
      <c r="X191" s="8"/>
      <c r="Y191" s="8"/>
      <c r="Z191" s="8"/>
      <c r="AA191" s="8"/>
      <c r="AI191" s="275"/>
      <c r="AJ191" s="275"/>
      <c r="AK191" s="275"/>
      <c r="AL191" s="275"/>
      <c r="AM191" s="275"/>
      <c r="AN191" s="275"/>
      <c r="AO191" s="275"/>
      <c r="AP191" s="8"/>
    </row>
    <row r="192" spans="1:42" ht="14.4" customHeight="1" x14ac:dyDescent="0.35">
      <c r="A192" s="8"/>
      <c r="B192" s="892"/>
      <c r="C192" s="8"/>
      <c r="D192" s="8"/>
      <c r="E192" s="8"/>
      <c r="F192" s="8"/>
      <c r="G192" s="8"/>
      <c r="H192" s="8"/>
      <c r="I192" s="8"/>
      <c r="J192" s="8"/>
      <c r="K192" s="8"/>
      <c r="L192" s="8"/>
      <c r="M192" s="8"/>
      <c r="N192" s="8"/>
      <c r="O192" s="8"/>
      <c r="P192" s="8"/>
      <c r="Q192" s="8"/>
      <c r="R192" s="64"/>
      <c r="S192" s="8"/>
      <c r="T192" s="8"/>
      <c r="U192" s="8"/>
      <c r="V192" s="8"/>
      <c r="W192" s="8"/>
      <c r="X192" s="8"/>
      <c r="Y192" s="8"/>
      <c r="Z192" s="8"/>
      <c r="AA192" s="8"/>
      <c r="AI192" s="275"/>
      <c r="AJ192" s="275"/>
      <c r="AK192" s="275"/>
      <c r="AL192" s="275"/>
      <c r="AM192" s="275"/>
      <c r="AN192" s="275"/>
      <c r="AO192" s="275"/>
      <c r="AP192" s="8"/>
    </row>
    <row r="193" spans="1:42" ht="14.4" customHeight="1" x14ac:dyDescent="0.35">
      <c r="A193" s="8"/>
      <c r="B193" s="892"/>
      <c r="C193" s="8"/>
      <c r="D193" s="8"/>
      <c r="E193" s="8"/>
      <c r="F193" s="8"/>
      <c r="G193" s="8"/>
      <c r="H193" s="8"/>
      <c r="I193" s="8"/>
      <c r="J193" s="8"/>
      <c r="K193" s="8"/>
      <c r="L193" s="8"/>
      <c r="M193" s="8"/>
      <c r="N193" s="8"/>
      <c r="O193" s="8"/>
      <c r="P193" s="8"/>
      <c r="Q193" s="8"/>
      <c r="R193" s="64"/>
      <c r="S193" s="8"/>
      <c r="T193" s="8"/>
      <c r="U193" s="8"/>
      <c r="V193" s="8"/>
      <c r="W193" s="8"/>
      <c r="X193" s="8"/>
      <c r="Y193" s="8"/>
      <c r="Z193" s="8"/>
      <c r="AA193" s="8"/>
      <c r="AI193" s="275"/>
      <c r="AJ193" s="275"/>
      <c r="AK193" s="275"/>
      <c r="AL193" s="275"/>
      <c r="AM193" s="275"/>
      <c r="AN193" s="275"/>
      <c r="AO193" s="275"/>
      <c r="AP193" s="8"/>
    </row>
    <row r="194" spans="1:42" ht="14.4" customHeight="1" x14ac:dyDescent="0.35">
      <c r="A194" s="8"/>
      <c r="B194" s="892"/>
      <c r="C194" s="8"/>
      <c r="D194" s="8"/>
      <c r="E194" s="8"/>
      <c r="F194" s="8"/>
      <c r="G194" s="8"/>
      <c r="H194" s="8"/>
      <c r="I194" s="8"/>
      <c r="J194" s="8"/>
      <c r="K194" s="8"/>
      <c r="L194" s="8"/>
      <c r="M194" s="8"/>
      <c r="N194" s="8"/>
      <c r="O194" s="8"/>
      <c r="P194" s="8"/>
      <c r="Q194" s="8"/>
      <c r="R194" s="64"/>
      <c r="S194" s="8"/>
      <c r="T194" s="8"/>
      <c r="U194" s="8"/>
      <c r="V194" s="8"/>
      <c r="W194" s="8"/>
      <c r="X194" s="8"/>
      <c r="Y194" s="8"/>
      <c r="Z194" s="8"/>
      <c r="AA194" s="8"/>
      <c r="AI194" s="275"/>
      <c r="AJ194" s="275"/>
      <c r="AK194" s="275"/>
      <c r="AL194" s="275"/>
      <c r="AM194" s="275"/>
      <c r="AN194" s="275"/>
      <c r="AO194" s="275"/>
      <c r="AP194" s="8"/>
    </row>
    <row r="195" spans="1:42" ht="14.4" customHeight="1" x14ac:dyDescent="0.35">
      <c r="A195" s="8"/>
      <c r="B195" s="892"/>
      <c r="C195" s="8"/>
      <c r="D195" s="8"/>
      <c r="E195" s="8"/>
      <c r="F195" s="8"/>
      <c r="G195" s="8"/>
      <c r="H195" s="8"/>
      <c r="I195" s="8"/>
      <c r="J195" s="8"/>
      <c r="K195" s="8"/>
      <c r="L195" s="8"/>
      <c r="M195" s="8"/>
      <c r="N195" s="8"/>
      <c r="O195" s="8"/>
      <c r="P195" s="8"/>
      <c r="Q195" s="8"/>
      <c r="R195" s="64"/>
      <c r="S195" s="8"/>
      <c r="T195" s="8"/>
      <c r="U195" s="8"/>
      <c r="V195" s="8"/>
      <c r="W195" s="8"/>
      <c r="X195" s="8"/>
      <c r="Y195" s="8"/>
      <c r="Z195" s="8"/>
      <c r="AA195" s="8"/>
      <c r="AI195" s="275"/>
      <c r="AJ195" s="275"/>
      <c r="AK195" s="275"/>
      <c r="AL195" s="275"/>
      <c r="AM195" s="275"/>
      <c r="AN195" s="275"/>
      <c r="AO195" s="275"/>
      <c r="AP195" s="8"/>
    </row>
    <row r="196" spans="1:42" ht="14.4" customHeight="1" x14ac:dyDescent="0.35">
      <c r="A196" s="8"/>
      <c r="B196" s="892"/>
      <c r="C196" s="8"/>
      <c r="D196" s="8"/>
      <c r="E196" s="8"/>
      <c r="F196" s="8"/>
      <c r="G196" s="8"/>
      <c r="H196" s="8"/>
      <c r="I196" s="8"/>
      <c r="J196" s="8"/>
      <c r="K196" s="8"/>
      <c r="L196" s="8"/>
      <c r="M196" s="8"/>
      <c r="N196" s="8"/>
      <c r="O196" s="8"/>
      <c r="P196" s="8"/>
      <c r="Q196" s="8"/>
      <c r="R196" s="64"/>
      <c r="S196" s="8"/>
      <c r="T196" s="8"/>
      <c r="U196" s="8"/>
      <c r="V196" s="8"/>
      <c r="W196" s="8"/>
      <c r="X196" s="8"/>
      <c r="Y196" s="8"/>
      <c r="Z196" s="8"/>
      <c r="AA196" s="8"/>
      <c r="AI196" s="275"/>
      <c r="AJ196" s="275"/>
      <c r="AK196" s="275"/>
      <c r="AL196" s="275"/>
      <c r="AM196" s="275"/>
      <c r="AN196" s="275"/>
      <c r="AO196" s="275"/>
      <c r="AP196" s="8"/>
    </row>
    <row r="197" spans="1:42" ht="14.4" customHeight="1" x14ac:dyDescent="0.35">
      <c r="A197" s="8"/>
      <c r="B197" s="892"/>
      <c r="C197" s="8"/>
      <c r="D197" s="8"/>
      <c r="E197" s="8"/>
      <c r="F197" s="8"/>
      <c r="G197" s="8"/>
      <c r="H197" s="8"/>
      <c r="I197" s="8"/>
      <c r="J197" s="8"/>
      <c r="K197" s="8"/>
      <c r="L197" s="8"/>
      <c r="M197" s="8"/>
      <c r="N197" s="8"/>
      <c r="O197" s="8"/>
      <c r="P197" s="8"/>
      <c r="Q197" s="8"/>
      <c r="R197" s="64"/>
      <c r="S197" s="8"/>
      <c r="T197" s="8"/>
      <c r="U197" s="8"/>
      <c r="V197" s="8"/>
      <c r="W197" s="8"/>
      <c r="X197" s="8"/>
      <c r="Y197" s="8"/>
      <c r="Z197" s="8"/>
      <c r="AA197" s="8"/>
      <c r="AI197" s="275"/>
      <c r="AJ197" s="275"/>
      <c r="AK197" s="275"/>
      <c r="AL197" s="275"/>
      <c r="AM197" s="275"/>
      <c r="AN197" s="275"/>
      <c r="AO197" s="275"/>
      <c r="AP197" s="8"/>
    </row>
    <row r="198" spans="1:42" ht="14.4" customHeight="1" x14ac:dyDescent="0.35">
      <c r="A198" s="8"/>
      <c r="B198" s="892"/>
      <c r="C198" s="8"/>
      <c r="D198" s="8"/>
      <c r="E198" s="8"/>
      <c r="F198" s="8"/>
      <c r="G198" s="8"/>
      <c r="H198" s="8"/>
      <c r="I198" s="8"/>
      <c r="J198" s="8"/>
      <c r="K198" s="8"/>
      <c r="L198" s="8"/>
      <c r="M198" s="8"/>
      <c r="N198" s="8"/>
      <c r="O198" s="8"/>
      <c r="P198" s="8"/>
      <c r="Q198" s="8"/>
      <c r="R198" s="64"/>
      <c r="S198" s="8"/>
      <c r="T198" s="8"/>
      <c r="U198" s="8"/>
      <c r="V198" s="8"/>
      <c r="W198" s="8"/>
      <c r="X198" s="8"/>
      <c r="Y198" s="8"/>
      <c r="Z198" s="8"/>
      <c r="AA198" s="8"/>
      <c r="AI198" s="275"/>
      <c r="AJ198" s="275"/>
      <c r="AK198" s="275"/>
      <c r="AL198" s="275"/>
      <c r="AM198" s="275"/>
      <c r="AN198" s="275"/>
      <c r="AO198" s="275"/>
      <c r="AP198" s="8"/>
    </row>
    <row r="199" spans="1:42" ht="14.4" customHeight="1" x14ac:dyDescent="0.35">
      <c r="A199" s="8"/>
      <c r="B199" s="892"/>
      <c r="C199" s="8"/>
      <c r="D199" s="8"/>
      <c r="E199" s="8"/>
      <c r="F199" s="8"/>
      <c r="G199" s="8"/>
      <c r="H199" s="8"/>
      <c r="I199" s="8"/>
      <c r="J199" s="8"/>
      <c r="K199" s="8"/>
      <c r="L199" s="8"/>
      <c r="M199" s="8"/>
      <c r="N199" s="8"/>
      <c r="O199" s="8"/>
      <c r="P199" s="8"/>
      <c r="Q199" s="8"/>
      <c r="R199" s="64"/>
      <c r="S199" s="8"/>
      <c r="T199" s="8"/>
      <c r="U199" s="8"/>
      <c r="V199" s="8"/>
      <c r="W199" s="8"/>
      <c r="X199" s="8"/>
      <c r="Y199" s="8"/>
      <c r="Z199" s="8"/>
      <c r="AA199" s="8"/>
      <c r="AI199" s="275"/>
      <c r="AJ199" s="275"/>
      <c r="AK199" s="275"/>
      <c r="AL199" s="275"/>
      <c r="AM199" s="275"/>
      <c r="AN199" s="275"/>
      <c r="AO199" s="275"/>
      <c r="AP199" s="8"/>
    </row>
    <row r="200" spans="1:42" ht="14.4" customHeight="1" x14ac:dyDescent="0.35">
      <c r="A200" s="8"/>
      <c r="B200" s="892"/>
      <c r="C200" s="8"/>
      <c r="D200" s="8"/>
      <c r="E200" s="8"/>
      <c r="F200" s="8"/>
      <c r="G200" s="8"/>
      <c r="H200" s="8"/>
      <c r="I200" s="8"/>
      <c r="J200" s="8"/>
      <c r="K200" s="8"/>
      <c r="L200" s="8"/>
      <c r="M200" s="8"/>
      <c r="N200" s="8"/>
      <c r="O200" s="8"/>
      <c r="P200" s="8"/>
      <c r="Q200" s="8"/>
      <c r="R200" s="64"/>
      <c r="S200" s="8"/>
      <c r="T200" s="8"/>
      <c r="U200" s="8"/>
      <c r="V200" s="8"/>
      <c r="W200" s="8"/>
      <c r="X200" s="8"/>
      <c r="Y200" s="8"/>
      <c r="Z200" s="8"/>
      <c r="AA200" s="8"/>
      <c r="AI200" s="275"/>
      <c r="AJ200" s="275"/>
      <c r="AK200" s="275"/>
      <c r="AL200" s="275"/>
      <c r="AM200" s="275"/>
      <c r="AN200" s="275"/>
      <c r="AO200" s="275"/>
      <c r="AP200" s="8"/>
    </row>
    <row r="201" spans="1:42" ht="14.4" customHeight="1" x14ac:dyDescent="0.35">
      <c r="A201" s="8"/>
      <c r="B201" s="892"/>
      <c r="C201" s="8"/>
      <c r="D201" s="8"/>
      <c r="E201" s="8"/>
      <c r="F201" s="8"/>
      <c r="G201" s="8"/>
      <c r="H201" s="8"/>
      <c r="I201" s="8"/>
      <c r="J201" s="8"/>
      <c r="K201" s="8"/>
      <c r="L201" s="8"/>
      <c r="M201" s="8"/>
      <c r="N201" s="8"/>
      <c r="O201" s="8"/>
      <c r="P201" s="8"/>
      <c r="Q201" s="8"/>
      <c r="R201" s="64"/>
      <c r="S201" s="8"/>
      <c r="T201" s="8"/>
      <c r="U201" s="8"/>
      <c r="V201" s="8"/>
      <c r="W201" s="8"/>
      <c r="X201" s="8"/>
      <c r="Y201" s="8"/>
      <c r="Z201" s="8"/>
      <c r="AA201" s="8"/>
      <c r="AI201" s="275"/>
      <c r="AJ201" s="275"/>
      <c r="AK201" s="275"/>
      <c r="AL201" s="275"/>
      <c r="AM201" s="275"/>
      <c r="AN201" s="275"/>
      <c r="AO201" s="275"/>
      <c r="AP201" s="8"/>
    </row>
    <row r="202" spans="1:42" ht="14.4" customHeight="1" x14ac:dyDescent="0.35">
      <c r="A202" s="8"/>
      <c r="B202" s="892"/>
      <c r="C202" s="8"/>
      <c r="D202" s="8"/>
      <c r="E202" s="8"/>
      <c r="F202" s="8"/>
      <c r="G202" s="8"/>
      <c r="H202" s="8"/>
      <c r="I202" s="8"/>
      <c r="J202" s="8"/>
      <c r="K202" s="8"/>
      <c r="L202" s="8"/>
      <c r="M202" s="8"/>
      <c r="N202" s="8"/>
      <c r="O202" s="8"/>
      <c r="P202" s="8"/>
      <c r="Q202" s="8"/>
      <c r="R202" s="64"/>
      <c r="S202" s="8"/>
      <c r="T202" s="8"/>
      <c r="U202" s="8"/>
      <c r="V202" s="8"/>
      <c r="W202" s="8"/>
      <c r="X202" s="8"/>
      <c r="Y202" s="8"/>
      <c r="Z202" s="8"/>
      <c r="AA202" s="8"/>
      <c r="AI202" s="275"/>
      <c r="AJ202" s="275"/>
      <c r="AK202" s="275"/>
      <c r="AL202" s="275"/>
      <c r="AM202" s="275"/>
      <c r="AN202" s="275"/>
      <c r="AO202" s="275"/>
      <c r="AP202" s="8"/>
    </row>
    <row r="203" spans="1:42" ht="14.4" customHeight="1" x14ac:dyDescent="0.35">
      <c r="A203" s="8"/>
      <c r="B203" s="892"/>
      <c r="C203" s="8"/>
      <c r="D203" s="8"/>
      <c r="E203" s="8"/>
      <c r="F203" s="8"/>
      <c r="G203" s="8"/>
      <c r="H203" s="8"/>
      <c r="I203" s="8"/>
      <c r="J203" s="8"/>
      <c r="K203" s="8"/>
      <c r="L203" s="8"/>
      <c r="M203" s="8"/>
      <c r="N203" s="8"/>
      <c r="O203" s="8"/>
      <c r="P203" s="8"/>
      <c r="Q203" s="8"/>
      <c r="R203" s="64"/>
      <c r="S203" s="8"/>
      <c r="T203" s="8"/>
      <c r="U203" s="8"/>
      <c r="V203" s="8"/>
      <c r="W203" s="8"/>
      <c r="X203" s="8"/>
      <c r="Y203" s="8"/>
      <c r="Z203" s="8"/>
      <c r="AA203" s="8"/>
      <c r="AI203" s="275"/>
      <c r="AJ203" s="275"/>
      <c r="AK203" s="275"/>
      <c r="AL203" s="275"/>
      <c r="AM203" s="275"/>
      <c r="AN203" s="275"/>
      <c r="AO203" s="275"/>
      <c r="AP203" s="8"/>
    </row>
    <row r="204" spans="1:42" ht="14.4" customHeight="1" x14ac:dyDescent="0.35">
      <c r="A204" s="8"/>
      <c r="B204" s="892"/>
      <c r="C204" s="8"/>
      <c r="D204" s="8"/>
      <c r="E204" s="8"/>
      <c r="F204" s="8"/>
      <c r="G204" s="8"/>
      <c r="H204" s="8"/>
      <c r="I204" s="8"/>
      <c r="J204" s="8"/>
      <c r="K204" s="8"/>
      <c r="L204" s="8"/>
      <c r="M204" s="8"/>
      <c r="N204" s="8"/>
      <c r="O204" s="8"/>
      <c r="P204" s="8"/>
      <c r="Q204" s="8"/>
      <c r="R204" s="64"/>
      <c r="S204" s="8"/>
      <c r="T204" s="8"/>
      <c r="U204" s="8"/>
      <c r="V204" s="8"/>
      <c r="W204" s="8"/>
      <c r="X204" s="8"/>
      <c r="Y204" s="8"/>
      <c r="Z204" s="8"/>
      <c r="AA204" s="8"/>
      <c r="AI204" s="275"/>
      <c r="AJ204" s="275"/>
      <c r="AK204" s="275"/>
      <c r="AL204" s="275"/>
      <c r="AM204" s="275"/>
      <c r="AN204" s="275"/>
      <c r="AO204" s="275"/>
      <c r="AP204" s="8"/>
    </row>
    <row r="205" spans="1:42" ht="14.4" customHeight="1" x14ac:dyDescent="0.35">
      <c r="A205" s="8"/>
      <c r="B205" s="892"/>
      <c r="C205" s="8"/>
      <c r="D205" s="8"/>
      <c r="E205" s="8"/>
      <c r="F205" s="8"/>
      <c r="G205" s="8"/>
      <c r="H205" s="8"/>
      <c r="I205" s="8"/>
      <c r="J205" s="8"/>
      <c r="K205" s="8"/>
      <c r="L205" s="8"/>
      <c r="M205" s="8"/>
      <c r="N205" s="8"/>
      <c r="O205" s="8"/>
      <c r="P205" s="8"/>
      <c r="Q205" s="8"/>
      <c r="R205" s="64"/>
      <c r="S205" s="8"/>
      <c r="T205" s="8"/>
      <c r="U205" s="8"/>
      <c r="V205" s="8"/>
      <c r="W205" s="8"/>
      <c r="X205" s="8"/>
      <c r="Y205" s="8"/>
      <c r="Z205" s="8"/>
      <c r="AA205" s="8"/>
      <c r="AI205" s="275"/>
      <c r="AJ205" s="275"/>
      <c r="AK205" s="275"/>
      <c r="AL205" s="275"/>
      <c r="AM205" s="275"/>
      <c r="AN205" s="275"/>
      <c r="AO205" s="275"/>
      <c r="AP205" s="8"/>
    </row>
    <row r="206" spans="1:42" ht="14.4" customHeight="1" x14ac:dyDescent="0.35">
      <c r="A206" s="8"/>
      <c r="B206" s="892"/>
      <c r="C206" s="8"/>
      <c r="D206" s="8"/>
      <c r="E206" s="8"/>
      <c r="F206" s="8"/>
      <c r="G206" s="8"/>
      <c r="H206" s="8"/>
      <c r="I206" s="8"/>
      <c r="J206" s="8"/>
      <c r="K206" s="8"/>
      <c r="L206" s="8"/>
      <c r="M206" s="8"/>
      <c r="N206" s="8"/>
      <c r="O206" s="8"/>
      <c r="P206" s="8"/>
      <c r="Q206" s="8"/>
      <c r="R206" s="64"/>
      <c r="S206" s="8"/>
      <c r="T206" s="8"/>
      <c r="U206" s="8"/>
      <c r="V206" s="8"/>
      <c r="W206" s="8"/>
      <c r="X206" s="8"/>
      <c r="Y206" s="8"/>
      <c r="Z206" s="8"/>
      <c r="AA206" s="8"/>
      <c r="AI206" s="275"/>
      <c r="AJ206" s="275"/>
      <c r="AK206" s="275"/>
      <c r="AL206" s="275"/>
      <c r="AM206" s="275"/>
      <c r="AN206" s="275"/>
      <c r="AO206" s="275"/>
      <c r="AP206" s="8"/>
    </row>
    <row r="207" spans="1:42" ht="14.4" customHeight="1" x14ac:dyDescent="0.35">
      <c r="A207" s="8"/>
      <c r="B207" s="892"/>
      <c r="C207" s="8"/>
      <c r="D207" s="8"/>
      <c r="E207" s="8"/>
      <c r="F207" s="8"/>
      <c r="G207" s="8"/>
      <c r="H207" s="8"/>
      <c r="I207" s="8"/>
      <c r="J207" s="8"/>
      <c r="K207" s="8"/>
      <c r="L207" s="8"/>
      <c r="M207" s="8"/>
      <c r="N207" s="8"/>
      <c r="O207" s="8"/>
      <c r="P207" s="8"/>
      <c r="Q207" s="8"/>
      <c r="R207" s="64"/>
      <c r="S207" s="8"/>
      <c r="T207" s="8"/>
      <c r="U207" s="8"/>
      <c r="V207" s="8"/>
      <c r="W207" s="8"/>
      <c r="X207" s="8"/>
      <c r="Y207" s="8"/>
      <c r="Z207" s="8"/>
      <c r="AA207" s="8"/>
      <c r="AI207" s="275"/>
      <c r="AJ207" s="275"/>
      <c r="AK207" s="275"/>
      <c r="AL207" s="275"/>
      <c r="AM207" s="275"/>
      <c r="AN207" s="275"/>
      <c r="AO207" s="275"/>
      <c r="AP207" s="8"/>
    </row>
    <row r="208" spans="1:42" ht="14.4" customHeight="1" x14ac:dyDescent="0.35">
      <c r="A208" s="8"/>
      <c r="B208" s="892"/>
      <c r="C208" s="8"/>
      <c r="D208" s="8"/>
      <c r="E208" s="8"/>
      <c r="F208" s="8"/>
      <c r="G208" s="8"/>
      <c r="H208" s="8"/>
      <c r="I208" s="8"/>
      <c r="J208" s="8"/>
      <c r="K208" s="8"/>
      <c r="L208" s="8"/>
      <c r="M208" s="8"/>
      <c r="N208" s="8"/>
      <c r="O208" s="8"/>
      <c r="P208" s="8"/>
      <c r="Q208" s="8"/>
      <c r="R208" s="64"/>
      <c r="S208" s="8"/>
      <c r="T208" s="8"/>
      <c r="U208" s="8"/>
      <c r="V208" s="8"/>
      <c r="W208" s="8"/>
      <c r="X208" s="8"/>
      <c r="Y208" s="8"/>
      <c r="Z208" s="8"/>
      <c r="AA208" s="8"/>
      <c r="AI208" s="275"/>
      <c r="AJ208" s="275"/>
      <c r="AK208" s="275"/>
      <c r="AL208" s="275"/>
      <c r="AM208" s="275"/>
      <c r="AN208" s="275"/>
      <c r="AO208" s="275"/>
      <c r="AP208" s="8"/>
    </row>
    <row r="209" spans="1:42" ht="14.4" customHeight="1" x14ac:dyDescent="0.35">
      <c r="A209" s="8"/>
      <c r="B209" s="892"/>
      <c r="C209" s="8"/>
      <c r="D209" s="8"/>
      <c r="E209" s="8"/>
      <c r="F209" s="8"/>
      <c r="G209" s="8"/>
      <c r="H209" s="8"/>
      <c r="I209" s="8"/>
      <c r="J209" s="8"/>
      <c r="K209" s="8"/>
      <c r="L209" s="8"/>
      <c r="M209" s="8"/>
      <c r="N209" s="8"/>
      <c r="O209" s="8"/>
      <c r="P209" s="8"/>
      <c r="Q209" s="8"/>
      <c r="R209" s="64"/>
      <c r="S209" s="8"/>
      <c r="T209" s="8"/>
      <c r="U209" s="8"/>
      <c r="V209" s="8"/>
      <c r="W209" s="8"/>
      <c r="X209" s="8"/>
      <c r="Y209" s="8"/>
      <c r="Z209" s="8"/>
      <c r="AA209" s="8"/>
      <c r="AI209" s="275"/>
      <c r="AJ209" s="275"/>
      <c r="AK209" s="275"/>
      <c r="AL209" s="275"/>
      <c r="AM209" s="275"/>
      <c r="AN209" s="275"/>
      <c r="AO209" s="275"/>
      <c r="AP209" s="8"/>
    </row>
    <row r="210" spans="1:42" ht="14.4" customHeight="1" x14ac:dyDescent="0.35">
      <c r="A210" s="8"/>
      <c r="B210" s="892"/>
      <c r="C210" s="8"/>
      <c r="D210" s="8"/>
      <c r="E210" s="8"/>
      <c r="F210" s="8"/>
      <c r="G210" s="8"/>
      <c r="H210" s="8"/>
      <c r="I210" s="8"/>
      <c r="J210" s="8"/>
      <c r="K210" s="8"/>
      <c r="L210" s="8"/>
      <c r="M210" s="8"/>
      <c r="N210" s="8"/>
      <c r="O210" s="8"/>
      <c r="P210" s="8"/>
      <c r="Q210" s="8"/>
      <c r="R210" s="64"/>
      <c r="S210" s="8"/>
      <c r="T210" s="8"/>
      <c r="U210" s="8"/>
      <c r="V210" s="8"/>
      <c r="W210" s="8"/>
      <c r="X210" s="8"/>
      <c r="Y210" s="8"/>
      <c r="Z210" s="8"/>
      <c r="AA210" s="8"/>
      <c r="AI210" s="275"/>
      <c r="AJ210" s="275"/>
      <c r="AK210" s="275"/>
      <c r="AL210" s="275"/>
      <c r="AM210" s="275"/>
      <c r="AN210" s="275"/>
      <c r="AO210" s="275"/>
      <c r="AP210" s="8"/>
    </row>
    <row r="211" spans="1:42" ht="14.4" customHeight="1" x14ac:dyDescent="0.35">
      <c r="A211" s="8"/>
      <c r="B211" s="892"/>
      <c r="C211" s="8"/>
      <c r="D211" s="8"/>
      <c r="E211" s="8"/>
      <c r="F211" s="8"/>
      <c r="G211" s="8"/>
      <c r="H211" s="8"/>
      <c r="I211" s="8"/>
      <c r="J211" s="8"/>
      <c r="K211" s="8"/>
      <c r="L211" s="8"/>
      <c r="M211" s="8"/>
      <c r="N211" s="8"/>
      <c r="O211" s="8"/>
      <c r="P211" s="8"/>
      <c r="Q211" s="8"/>
      <c r="R211" s="64"/>
      <c r="S211" s="8"/>
      <c r="T211" s="8"/>
      <c r="U211" s="8"/>
      <c r="V211" s="8"/>
      <c r="W211" s="8"/>
      <c r="X211" s="8"/>
      <c r="Y211" s="8"/>
      <c r="Z211" s="8"/>
      <c r="AA211" s="8"/>
      <c r="AI211" s="275"/>
      <c r="AJ211" s="275"/>
      <c r="AK211" s="275"/>
      <c r="AL211" s="275"/>
      <c r="AM211" s="275"/>
      <c r="AN211" s="275"/>
      <c r="AO211" s="275"/>
      <c r="AP211" s="8"/>
    </row>
    <row r="212" spans="1:42" ht="14.4" customHeight="1" x14ac:dyDescent="0.35">
      <c r="A212" s="8"/>
      <c r="B212" s="892"/>
      <c r="C212" s="8"/>
      <c r="D212" s="8"/>
      <c r="E212" s="8"/>
      <c r="F212" s="8"/>
      <c r="G212" s="8"/>
      <c r="H212" s="8"/>
      <c r="I212" s="8"/>
      <c r="J212" s="8"/>
      <c r="K212" s="8"/>
      <c r="L212" s="8"/>
      <c r="M212" s="8"/>
      <c r="N212" s="8"/>
      <c r="O212" s="8"/>
      <c r="P212" s="8"/>
      <c r="Q212" s="8"/>
      <c r="R212" s="64"/>
      <c r="S212" s="8"/>
      <c r="T212" s="8"/>
      <c r="U212" s="8"/>
      <c r="V212" s="8"/>
      <c r="W212" s="8"/>
      <c r="X212" s="8"/>
      <c r="Y212" s="8"/>
      <c r="Z212" s="8"/>
      <c r="AA212" s="8"/>
      <c r="AI212" s="275"/>
      <c r="AJ212" s="275"/>
      <c r="AK212" s="275"/>
      <c r="AL212" s="275"/>
      <c r="AM212" s="275"/>
      <c r="AN212" s="275"/>
      <c r="AO212" s="275"/>
      <c r="AP212" s="8"/>
    </row>
    <row r="213" spans="1:42" ht="14.4" customHeight="1" x14ac:dyDescent="0.35">
      <c r="A213" s="8"/>
      <c r="B213" s="892"/>
      <c r="C213" s="8"/>
      <c r="D213" s="8"/>
      <c r="E213" s="8"/>
      <c r="F213" s="8"/>
      <c r="G213" s="8"/>
      <c r="H213" s="8"/>
      <c r="I213" s="8"/>
      <c r="J213" s="8"/>
      <c r="K213" s="8"/>
      <c r="L213" s="8"/>
      <c r="M213" s="8"/>
      <c r="N213" s="8"/>
      <c r="O213" s="8"/>
      <c r="P213" s="8"/>
      <c r="Q213" s="8"/>
      <c r="R213" s="64"/>
      <c r="S213" s="8"/>
      <c r="T213" s="8"/>
      <c r="U213" s="8"/>
      <c r="V213" s="8"/>
      <c r="W213" s="8"/>
      <c r="X213" s="8"/>
      <c r="Y213" s="8"/>
      <c r="Z213" s="8"/>
      <c r="AA213" s="8"/>
      <c r="AI213" s="275"/>
      <c r="AJ213" s="275"/>
      <c r="AK213" s="275"/>
      <c r="AL213" s="275"/>
      <c r="AM213" s="275"/>
      <c r="AN213" s="275"/>
      <c r="AO213" s="275"/>
      <c r="AP213" s="8"/>
    </row>
    <row r="214" spans="1:42" ht="14.4" customHeight="1" x14ac:dyDescent="0.35">
      <c r="A214" s="8"/>
      <c r="B214" s="892"/>
      <c r="C214" s="8"/>
      <c r="D214" s="8"/>
      <c r="E214" s="8"/>
      <c r="F214" s="8"/>
      <c r="G214" s="8"/>
      <c r="H214" s="8"/>
      <c r="I214" s="8"/>
      <c r="J214" s="8"/>
      <c r="K214" s="8"/>
      <c r="L214" s="8"/>
      <c r="M214" s="8"/>
      <c r="N214" s="8"/>
      <c r="O214" s="8"/>
      <c r="P214" s="8"/>
      <c r="Q214" s="8"/>
      <c r="R214" s="64"/>
      <c r="S214" s="8"/>
      <c r="T214" s="8"/>
      <c r="U214" s="8"/>
      <c r="V214" s="8"/>
      <c r="W214" s="8"/>
      <c r="X214" s="8"/>
      <c r="Y214" s="8"/>
      <c r="Z214" s="8"/>
      <c r="AA214" s="8"/>
      <c r="AI214" s="275"/>
      <c r="AJ214" s="275"/>
      <c r="AK214" s="275"/>
      <c r="AL214" s="275"/>
      <c r="AM214" s="275"/>
      <c r="AN214" s="275"/>
      <c r="AO214" s="275"/>
      <c r="AP214" s="8"/>
    </row>
    <row r="215" spans="1:42" ht="14.4" customHeight="1" x14ac:dyDescent="0.35">
      <c r="A215" s="8"/>
      <c r="B215" s="892"/>
      <c r="C215" s="8"/>
      <c r="D215" s="8"/>
      <c r="E215" s="8"/>
      <c r="F215" s="8"/>
      <c r="G215" s="8"/>
      <c r="H215" s="8"/>
      <c r="I215" s="8"/>
      <c r="J215" s="8"/>
      <c r="K215" s="8"/>
      <c r="L215" s="8"/>
      <c r="M215" s="8"/>
      <c r="N215" s="8"/>
      <c r="O215" s="8"/>
      <c r="P215" s="8"/>
      <c r="Q215" s="8"/>
      <c r="R215" s="64"/>
      <c r="S215" s="8"/>
      <c r="T215" s="8"/>
      <c r="U215" s="8"/>
      <c r="V215" s="8"/>
      <c r="W215" s="8"/>
      <c r="X215" s="8"/>
      <c r="Y215" s="8"/>
      <c r="Z215" s="8"/>
      <c r="AA215" s="8"/>
      <c r="AI215" s="275"/>
      <c r="AJ215" s="275"/>
      <c r="AK215" s="275"/>
      <c r="AL215" s="275"/>
      <c r="AM215" s="275"/>
      <c r="AN215" s="275"/>
      <c r="AO215" s="275"/>
      <c r="AP215" s="8"/>
    </row>
    <row r="216" spans="1:42" ht="14.4" customHeight="1" x14ac:dyDescent="0.35">
      <c r="A216" s="8"/>
      <c r="B216" s="892"/>
      <c r="C216" s="8"/>
      <c r="D216" s="8"/>
      <c r="E216" s="8"/>
      <c r="F216" s="8"/>
      <c r="G216" s="8"/>
      <c r="H216" s="8"/>
      <c r="I216" s="8"/>
      <c r="J216" s="8"/>
      <c r="K216" s="8"/>
      <c r="L216" s="8"/>
      <c r="M216" s="8"/>
      <c r="N216" s="8"/>
      <c r="O216" s="8"/>
      <c r="P216" s="8"/>
      <c r="Q216" s="8"/>
      <c r="R216" s="64"/>
      <c r="S216" s="8"/>
      <c r="T216" s="8"/>
      <c r="U216" s="8"/>
      <c r="V216" s="8"/>
      <c r="W216" s="8"/>
      <c r="X216" s="8"/>
      <c r="Y216" s="8"/>
      <c r="Z216" s="8"/>
      <c r="AA216" s="8"/>
      <c r="AI216" s="275"/>
      <c r="AJ216" s="275"/>
      <c r="AK216" s="275"/>
      <c r="AL216" s="275"/>
      <c r="AM216" s="275"/>
      <c r="AN216" s="275"/>
      <c r="AO216" s="275"/>
      <c r="AP216" s="8"/>
    </row>
    <row r="217" spans="1:42" ht="14.4" customHeight="1" x14ac:dyDescent="0.35">
      <c r="A217" s="8"/>
      <c r="B217" s="892"/>
      <c r="C217" s="8"/>
      <c r="D217" s="8"/>
      <c r="E217" s="8"/>
      <c r="F217" s="8"/>
      <c r="G217" s="8"/>
      <c r="H217" s="8"/>
      <c r="I217" s="8"/>
      <c r="J217" s="8"/>
      <c r="K217" s="8"/>
      <c r="L217" s="8"/>
      <c r="M217" s="8"/>
      <c r="N217" s="8"/>
      <c r="O217" s="8"/>
      <c r="P217" s="8"/>
      <c r="Q217" s="8"/>
      <c r="R217" s="64"/>
      <c r="S217" s="8"/>
      <c r="T217" s="8"/>
      <c r="U217" s="8"/>
      <c r="V217" s="8"/>
      <c r="W217" s="8"/>
      <c r="X217" s="8"/>
      <c r="Y217" s="8"/>
      <c r="Z217" s="8"/>
      <c r="AA217" s="8"/>
      <c r="AI217" s="275"/>
      <c r="AJ217" s="275"/>
      <c r="AK217" s="275"/>
      <c r="AL217" s="275"/>
      <c r="AM217" s="275"/>
      <c r="AN217" s="275"/>
      <c r="AO217" s="275"/>
      <c r="AP217" s="8"/>
    </row>
    <row r="218" spans="1:42" ht="14.4" customHeight="1" x14ac:dyDescent="0.35">
      <c r="A218" s="8"/>
      <c r="B218" s="892"/>
      <c r="C218" s="8"/>
      <c r="D218" s="8"/>
      <c r="E218" s="8"/>
      <c r="F218" s="8"/>
      <c r="G218" s="8"/>
      <c r="H218" s="8"/>
      <c r="I218" s="8"/>
      <c r="J218" s="8"/>
      <c r="K218" s="8"/>
      <c r="L218" s="8"/>
      <c r="M218" s="8"/>
      <c r="N218" s="8"/>
      <c r="O218" s="8"/>
      <c r="P218" s="8"/>
      <c r="Q218" s="8"/>
      <c r="R218" s="64"/>
      <c r="S218" s="8"/>
      <c r="T218" s="8"/>
      <c r="U218" s="8"/>
      <c r="V218" s="8"/>
      <c r="W218" s="8"/>
      <c r="X218" s="8"/>
      <c r="Y218" s="8"/>
      <c r="Z218" s="8"/>
      <c r="AA218" s="8"/>
      <c r="AI218" s="275"/>
      <c r="AJ218" s="275"/>
      <c r="AK218" s="275"/>
      <c r="AL218" s="275"/>
      <c r="AM218" s="275"/>
      <c r="AN218" s="275"/>
      <c r="AO218" s="275"/>
      <c r="AP218" s="8"/>
    </row>
    <row r="219" spans="1:42" ht="14.4" customHeight="1" x14ac:dyDescent="0.35">
      <c r="A219" s="1077"/>
      <c r="B219" s="1078"/>
      <c r="C219" s="1077"/>
    </row>
    <row r="220" spans="1:42" ht="14.4" customHeight="1" x14ac:dyDescent="0.35">
      <c r="A220" s="1077"/>
      <c r="B220" s="1078"/>
      <c r="C220" s="1077"/>
    </row>
    <row r="221" spans="1:42" ht="14.4" customHeight="1" x14ac:dyDescent="0.35">
      <c r="A221" s="1077"/>
      <c r="B221" s="1078"/>
      <c r="C221" s="1077"/>
    </row>
    <row r="222" spans="1:42" ht="14.4" customHeight="1" x14ac:dyDescent="0.35">
      <c r="A222" s="1077"/>
      <c r="B222" s="1078"/>
      <c r="C222" s="1077"/>
    </row>
    <row r="223" spans="1:42" ht="14.4" customHeight="1" x14ac:dyDescent="0.35">
      <c r="A223" s="1077"/>
      <c r="B223" s="1078"/>
      <c r="C223" s="1077"/>
    </row>
    <row r="224" spans="1:42" ht="14.4" customHeight="1" x14ac:dyDescent="0.35">
      <c r="A224" s="1077"/>
      <c r="B224" s="1078"/>
      <c r="C224" s="1077"/>
    </row>
    <row r="225" spans="1:3" ht="14.4" customHeight="1" x14ac:dyDescent="0.35">
      <c r="A225" s="1077"/>
      <c r="B225" s="1078"/>
      <c r="C225" s="1077"/>
    </row>
    <row r="226" spans="1:3" ht="14.4" customHeight="1" x14ac:dyDescent="0.35">
      <c r="A226" s="1077"/>
      <c r="B226" s="1078"/>
      <c r="C226" s="1077"/>
    </row>
    <row r="227" spans="1:3" ht="14.4" customHeight="1" x14ac:dyDescent="0.35">
      <c r="A227" s="1077"/>
      <c r="B227" s="1078"/>
      <c r="C227" s="1077"/>
    </row>
    <row r="228" spans="1:3" ht="14.4" customHeight="1" x14ac:dyDescent="0.35">
      <c r="A228" s="1077"/>
      <c r="B228" s="1078"/>
      <c r="C228" s="1077"/>
    </row>
    <row r="229" spans="1:3" ht="14.4" customHeight="1" x14ac:dyDescent="0.35">
      <c r="A229" s="1077"/>
      <c r="B229" s="1078"/>
      <c r="C229" s="1077"/>
    </row>
    <row r="230" spans="1:3" ht="14.4" customHeight="1" x14ac:dyDescent="0.35">
      <c r="A230" s="1077"/>
      <c r="B230" s="1078"/>
      <c r="C230" s="1077"/>
    </row>
    <row r="231" spans="1:3" ht="14.4" customHeight="1" x14ac:dyDescent="0.35">
      <c r="A231" s="1077"/>
      <c r="B231" s="1078"/>
      <c r="C231" s="1077"/>
    </row>
    <row r="232" spans="1:3" ht="14.4" customHeight="1" x14ac:dyDescent="0.35">
      <c r="A232" s="1077"/>
      <c r="B232" s="1078"/>
      <c r="C232" s="1077"/>
    </row>
    <row r="233" spans="1:3" ht="14.4" customHeight="1" x14ac:dyDescent="0.35">
      <c r="A233" s="1077"/>
      <c r="B233" s="1078"/>
      <c r="C233" s="1077"/>
    </row>
    <row r="234" spans="1:3" ht="14.4" customHeight="1" x14ac:dyDescent="0.35">
      <c r="A234" s="1077"/>
      <c r="B234" s="1078"/>
      <c r="C234" s="1077"/>
    </row>
    <row r="235" spans="1:3" ht="14.4" customHeight="1" x14ac:dyDescent="0.35">
      <c r="A235" s="1077"/>
      <c r="B235" s="1078"/>
      <c r="C235" s="1077"/>
    </row>
    <row r="236" spans="1:3" ht="14.4" customHeight="1" x14ac:dyDescent="0.35">
      <c r="A236" s="1077"/>
      <c r="B236" s="1078"/>
      <c r="C236" s="1077"/>
    </row>
    <row r="237" spans="1:3" ht="14.4" customHeight="1" x14ac:dyDescent="0.35">
      <c r="A237" s="1077"/>
      <c r="B237" s="1078"/>
      <c r="C237" s="1077"/>
    </row>
    <row r="238" spans="1:3" ht="14.4" customHeight="1" x14ac:dyDescent="0.35">
      <c r="A238" s="1077"/>
      <c r="B238" s="1078"/>
      <c r="C238" s="1077"/>
    </row>
    <row r="239" spans="1:3" ht="14.4" customHeight="1" x14ac:dyDescent="0.35">
      <c r="A239" s="1077"/>
      <c r="B239" s="1078"/>
      <c r="C239" s="1077"/>
    </row>
    <row r="240" spans="1:3" ht="14.4" customHeight="1" x14ac:dyDescent="0.35">
      <c r="A240" s="1077"/>
      <c r="B240" s="1078"/>
      <c r="C240" s="1077"/>
    </row>
    <row r="241" spans="1:3" ht="14.4" customHeight="1" x14ac:dyDescent="0.35">
      <c r="A241" s="1077"/>
      <c r="B241" s="1078"/>
      <c r="C241" s="1077"/>
    </row>
    <row r="242" spans="1:3" ht="14.4" customHeight="1" x14ac:dyDescent="0.35">
      <c r="A242" s="1077"/>
      <c r="B242" s="1078"/>
      <c r="C242" s="1077"/>
    </row>
    <row r="243" spans="1:3" ht="14.4" customHeight="1" x14ac:dyDescent="0.35">
      <c r="A243" s="1077"/>
      <c r="B243" s="1078"/>
      <c r="C243" s="1077"/>
    </row>
    <row r="244" spans="1:3" ht="14.4" customHeight="1" x14ac:dyDescent="0.35">
      <c r="A244" s="1077"/>
      <c r="B244" s="1078"/>
      <c r="C244" s="1077"/>
    </row>
    <row r="245" spans="1:3" ht="14.4" customHeight="1" x14ac:dyDescent="0.35">
      <c r="A245" s="1077"/>
      <c r="B245" s="1078"/>
      <c r="C245" s="1077"/>
    </row>
    <row r="246" spans="1:3" ht="14.4" customHeight="1" x14ac:dyDescent="0.35">
      <c r="A246" s="1077"/>
      <c r="B246" s="1078"/>
      <c r="C246" s="1077"/>
    </row>
    <row r="247" spans="1:3" ht="14.4" customHeight="1" x14ac:dyDescent="0.35">
      <c r="A247" s="1077"/>
      <c r="B247" s="1078"/>
      <c r="C247" s="1077"/>
    </row>
    <row r="248" spans="1:3" ht="14.4" customHeight="1" x14ac:dyDescent="0.35">
      <c r="A248" s="1077"/>
      <c r="B248" s="1078"/>
      <c r="C248" s="1077"/>
    </row>
    <row r="249" spans="1:3" ht="14.4" customHeight="1" x14ac:dyDescent="0.35">
      <c r="A249" s="1077"/>
      <c r="B249" s="1078"/>
      <c r="C249" s="1077"/>
    </row>
    <row r="250" spans="1:3" ht="14.4" customHeight="1" x14ac:dyDescent="0.35">
      <c r="A250" s="1077"/>
      <c r="B250" s="1078"/>
      <c r="C250" s="1077"/>
    </row>
    <row r="251" spans="1:3" ht="14.4" customHeight="1" x14ac:dyDescent="0.35">
      <c r="A251" s="1077"/>
      <c r="B251" s="1078"/>
      <c r="C251" s="1077"/>
    </row>
    <row r="252" spans="1:3" ht="14.4" customHeight="1" x14ac:dyDescent="0.35">
      <c r="A252" s="1077"/>
      <c r="B252" s="1078"/>
      <c r="C252" s="1077"/>
    </row>
    <row r="253" spans="1:3" ht="14.4" customHeight="1" x14ac:dyDescent="0.35">
      <c r="A253" s="1077"/>
      <c r="B253" s="1078"/>
      <c r="C253" s="1077"/>
    </row>
    <row r="254" spans="1:3" ht="14.4" customHeight="1" x14ac:dyDescent="0.35">
      <c r="A254" s="1077"/>
      <c r="B254" s="1078"/>
      <c r="C254" s="1077"/>
    </row>
    <row r="255" spans="1:3" ht="14.4" customHeight="1" x14ac:dyDescent="0.35">
      <c r="A255" s="1077"/>
      <c r="B255" s="1078"/>
      <c r="C255" s="1077"/>
    </row>
    <row r="256" spans="1:3" ht="14.4" customHeight="1" x14ac:dyDescent="0.35">
      <c r="A256" s="1077"/>
      <c r="B256" s="1078"/>
      <c r="C256" s="1077"/>
    </row>
    <row r="257" spans="1:3" ht="14.4" customHeight="1" x14ac:dyDescent="0.35">
      <c r="A257" s="1077"/>
      <c r="B257" s="1078"/>
      <c r="C257" s="1077"/>
    </row>
    <row r="258" spans="1:3" ht="14.4" customHeight="1" x14ac:dyDescent="0.35">
      <c r="A258" s="1077"/>
      <c r="B258" s="1078"/>
      <c r="C258" s="1077"/>
    </row>
    <row r="259" spans="1:3" ht="14.4" customHeight="1" x14ac:dyDescent="0.35">
      <c r="A259" s="1077"/>
      <c r="B259" s="1078"/>
      <c r="C259" s="1077"/>
    </row>
    <row r="260" spans="1:3" ht="14.4" customHeight="1" x14ac:dyDescent="0.35">
      <c r="A260" s="1077"/>
      <c r="B260" s="1078"/>
      <c r="C260" s="1077"/>
    </row>
    <row r="261" spans="1:3" ht="14.4" customHeight="1" x14ac:dyDescent="0.35">
      <c r="A261" s="1077"/>
      <c r="B261" s="1078"/>
      <c r="C261" s="1077"/>
    </row>
    <row r="262" spans="1:3" ht="14.4" customHeight="1" x14ac:dyDescent="0.35">
      <c r="A262" s="1077"/>
      <c r="B262" s="1078"/>
      <c r="C262" s="1077"/>
    </row>
    <row r="263" spans="1:3" ht="14.4" customHeight="1" x14ac:dyDescent="0.35">
      <c r="A263" s="1077"/>
      <c r="B263" s="1078"/>
      <c r="C263" s="1077"/>
    </row>
    <row r="264" spans="1:3" ht="14.4" customHeight="1" x14ac:dyDescent="0.35">
      <c r="A264" s="1077"/>
      <c r="B264" s="1078"/>
      <c r="C264" s="1077"/>
    </row>
    <row r="265" spans="1:3" ht="14.4" customHeight="1" x14ac:dyDescent="0.35">
      <c r="A265" s="1077"/>
      <c r="B265" s="1078"/>
      <c r="C265" s="1077"/>
    </row>
    <row r="266" spans="1:3" ht="14.4" customHeight="1" x14ac:dyDescent="0.35">
      <c r="A266" s="1077"/>
      <c r="B266" s="1078"/>
      <c r="C266" s="1077"/>
    </row>
    <row r="267" spans="1:3" ht="14.4" customHeight="1" x14ac:dyDescent="0.35">
      <c r="A267" s="1077"/>
      <c r="B267" s="1078"/>
      <c r="C267" s="1077"/>
    </row>
    <row r="268" spans="1:3" ht="14.4" customHeight="1" x14ac:dyDescent="0.35">
      <c r="A268" s="1077"/>
      <c r="B268" s="1078"/>
      <c r="C268" s="1077"/>
    </row>
    <row r="269" spans="1:3" ht="14.4" customHeight="1" x14ac:dyDescent="0.35">
      <c r="A269" s="1077"/>
      <c r="B269" s="1078"/>
      <c r="C269" s="1077"/>
    </row>
    <row r="270" spans="1:3" ht="14.4" customHeight="1" x14ac:dyDescent="0.35">
      <c r="A270" s="1077"/>
      <c r="B270" s="1078"/>
      <c r="C270" s="1077"/>
    </row>
    <row r="271" spans="1:3" ht="14.4" customHeight="1" x14ac:dyDescent="0.35">
      <c r="A271" s="1077"/>
      <c r="B271" s="1078"/>
      <c r="C271" s="1077"/>
    </row>
    <row r="272" spans="1:3" ht="14.4" customHeight="1" x14ac:dyDescent="0.35">
      <c r="A272" s="1077"/>
      <c r="B272" s="1078"/>
      <c r="C272" s="1077"/>
    </row>
    <row r="273" spans="1:3" ht="14.4" customHeight="1" x14ac:dyDescent="0.35">
      <c r="A273" s="1077"/>
      <c r="B273" s="1078"/>
      <c r="C273" s="1077"/>
    </row>
    <row r="274" spans="1:3" ht="14.4" customHeight="1" x14ac:dyDescent="0.35">
      <c r="A274" s="1077"/>
      <c r="B274" s="1078"/>
      <c r="C274" s="1077"/>
    </row>
    <row r="275" spans="1:3" ht="14.4" customHeight="1" x14ac:dyDescent="0.35">
      <c r="A275" s="1077"/>
      <c r="B275" s="1078"/>
      <c r="C275" s="1077"/>
    </row>
    <row r="276" spans="1:3" ht="14.4" customHeight="1" x14ac:dyDescent="0.35">
      <c r="A276" s="1077"/>
      <c r="B276" s="1078"/>
      <c r="C276" s="1077"/>
    </row>
    <row r="277" spans="1:3" ht="14.4" customHeight="1" x14ac:dyDescent="0.35">
      <c r="A277" s="1077"/>
      <c r="B277" s="1078"/>
      <c r="C277" s="1077"/>
    </row>
    <row r="278" spans="1:3" ht="14.4" customHeight="1" x14ac:dyDescent="0.35">
      <c r="A278" s="1077"/>
      <c r="B278" s="1078"/>
      <c r="C278" s="1077"/>
    </row>
    <row r="279" spans="1:3" ht="14.4" customHeight="1" x14ac:dyDescent="0.35">
      <c r="A279" s="1077"/>
      <c r="B279" s="1078"/>
      <c r="C279" s="1077"/>
    </row>
    <row r="280" spans="1:3" ht="14.4" customHeight="1" x14ac:dyDescent="0.35">
      <c r="A280" s="1077"/>
      <c r="B280" s="1078"/>
      <c r="C280" s="1077"/>
    </row>
    <row r="281" spans="1:3" ht="14.4" customHeight="1" x14ac:dyDescent="0.35">
      <c r="A281" s="1077"/>
      <c r="B281" s="1078"/>
      <c r="C281" s="1077"/>
    </row>
    <row r="282" spans="1:3" ht="14.4" customHeight="1" x14ac:dyDescent="0.35">
      <c r="A282" s="1077"/>
      <c r="B282" s="1078"/>
      <c r="C282" s="1077"/>
    </row>
    <row r="283" spans="1:3" ht="14.4" customHeight="1" x14ac:dyDescent="0.35">
      <c r="A283" s="1077"/>
      <c r="B283" s="1078"/>
      <c r="C283" s="1077"/>
    </row>
    <row r="284" spans="1:3" ht="14.4" customHeight="1" x14ac:dyDescent="0.35">
      <c r="A284" s="1077"/>
      <c r="B284" s="1078"/>
      <c r="C284" s="1077"/>
    </row>
    <row r="285" spans="1:3" ht="14.4" customHeight="1" x14ac:dyDescent="0.35">
      <c r="A285" s="1077"/>
      <c r="B285" s="1078"/>
      <c r="C285" s="1077"/>
    </row>
    <row r="286" spans="1:3" ht="14.4" customHeight="1" x14ac:dyDescent="0.35">
      <c r="A286" s="1077"/>
      <c r="B286" s="1078"/>
      <c r="C286" s="1077"/>
    </row>
    <row r="287" spans="1:3" ht="14.4" customHeight="1" x14ac:dyDescent="0.35">
      <c r="A287" s="1077"/>
      <c r="B287" s="1078"/>
      <c r="C287" s="1077"/>
    </row>
    <row r="288" spans="1:3" ht="14.4" customHeight="1" x14ac:dyDescent="0.35">
      <c r="A288" s="1077"/>
      <c r="B288" s="1078"/>
      <c r="C288" s="1077"/>
    </row>
    <row r="289" spans="1:3" ht="14.4" customHeight="1" x14ac:dyDescent="0.35">
      <c r="A289" s="1077"/>
      <c r="B289" s="1078"/>
      <c r="C289" s="1077"/>
    </row>
    <row r="290" spans="1:3" ht="14.4" customHeight="1" x14ac:dyDescent="0.35">
      <c r="A290" s="1077"/>
      <c r="B290" s="1078"/>
      <c r="C290" s="1077"/>
    </row>
    <row r="291" spans="1:3" ht="14.4" customHeight="1" x14ac:dyDescent="0.35">
      <c r="A291" s="1077"/>
      <c r="B291" s="1078"/>
      <c r="C291" s="1077"/>
    </row>
    <row r="292" spans="1:3" ht="14.4" customHeight="1" x14ac:dyDescent="0.35">
      <c r="A292" s="1077"/>
      <c r="B292" s="1078"/>
      <c r="C292" s="1077"/>
    </row>
    <row r="293" spans="1:3" ht="14.4" customHeight="1" x14ac:dyDescent="0.35">
      <c r="A293" s="1077"/>
      <c r="B293" s="1078"/>
      <c r="C293" s="1077"/>
    </row>
    <row r="294" spans="1:3" ht="14.4" customHeight="1" x14ac:dyDescent="0.35">
      <c r="A294" s="1077"/>
      <c r="B294" s="1078"/>
      <c r="C294" s="1077"/>
    </row>
    <row r="295" spans="1:3" ht="14.4" customHeight="1" x14ac:dyDescent="0.35">
      <c r="A295" s="1077"/>
      <c r="B295" s="1078"/>
      <c r="C295" s="1077"/>
    </row>
    <row r="296" spans="1:3" ht="14.4" customHeight="1" x14ac:dyDescent="0.35">
      <c r="A296" s="1077"/>
      <c r="B296" s="1078"/>
      <c r="C296" s="1077"/>
    </row>
    <row r="297" spans="1:3" ht="14.4" customHeight="1" x14ac:dyDescent="0.35">
      <c r="A297" s="1077"/>
      <c r="B297" s="1078"/>
      <c r="C297" s="1077"/>
    </row>
    <row r="298" spans="1:3" ht="14.4" customHeight="1" x14ac:dyDescent="0.35">
      <c r="A298" s="1077"/>
      <c r="B298" s="1078"/>
      <c r="C298" s="1077"/>
    </row>
    <row r="299" spans="1:3" ht="14.4" customHeight="1" x14ac:dyDescent="0.35">
      <c r="A299" s="1077"/>
      <c r="B299" s="1078"/>
      <c r="C299" s="1077"/>
    </row>
    <row r="300" spans="1:3" ht="14.4" customHeight="1" x14ac:dyDescent="0.35">
      <c r="A300" s="1077"/>
      <c r="B300" s="1078"/>
      <c r="C300" s="1077"/>
    </row>
    <row r="301" spans="1:3" ht="14.4" customHeight="1" x14ac:dyDescent="0.35">
      <c r="A301" s="1077"/>
      <c r="B301" s="1078"/>
      <c r="C301" s="1077"/>
    </row>
    <row r="302" spans="1:3" ht="14.4" customHeight="1" x14ac:dyDescent="0.35">
      <c r="A302" s="1077"/>
      <c r="B302" s="1078"/>
      <c r="C302" s="1077"/>
    </row>
    <row r="303" spans="1:3" ht="14.4" customHeight="1" x14ac:dyDescent="0.35">
      <c r="A303" s="1077"/>
      <c r="B303" s="1078"/>
      <c r="C303" s="1077"/>
    </row>
    <row r="304" spans="1:3" ht="14.4" customHeight="1" x14ac:dyDescent="0.35">
      <c r="A304" s="1077"/>
      <c r="B304" s="1078"/>
      <c r="C304" s="1077"/>
    </row>
    <row r="305" spans="1:3" ht="14.4" customHeight="1" x14ac:dyDescent="0.35">
      <c r="A305" s="1077"/>
      <c r="B305" s="1078"/>
      <c r="C305" s="1077"/>
    </row>
    <row r="306" spans="1:3" ht="14.4" customHeight="1" x14ac:dyDescent="0.35">
      <c r="A306" s="1077"/>
      <c r="B306" s="1078"/>
      <c r="C306" s="1077"/>
    </row>
    <row r="307" spans="1:3" ht="14.4" customHeight="1" x14ac:dyDescent="0.35">
      <c r="A307" s="1077"/>
      <c r="B307" s="1078"/>
      <c r="C307" s="1077"/>
    </row>
    <row r="308" spans="1:3" ht="14.4" customHeight="1" x14ac:dyDescent="0.35">
      <c r="A308" s="1077"/>
      <c r="B308" s="1078"/>
      <c r="C308" s="1077"/>
    </row>
    <row r="309" spans="1:3" ht="14.4" customHeight="1" x14ac:dyDescent="0.35">
      <c r="A309" s="1077"/>
      <c r="B309" s="1078"/>
      <c r="C309" s="1077"/>
    </row>
    <row r="310" spans="1:3" ht="14.4" customHeight="1" x14ac:dyDescent="0.35">
      <c r="A310" s="1077"/>
      <c r="B310" s="1078"/>
      <c r="C310" s="1077"/>
    </row>
    <row r="311" spans="1:3" ht="14.4" customHeight="1" x14ac:dyDescent="0.35">
      <c r="A311" s="1077"/>
      <c r="B311" s="1078"/>
      <c r="C311" s="1077"/>
    </row>
    <row r="312" spans="1:3" ht="14.4" customHeight="1" x14ac:dyDescent="0.35">
      <c r="A312" s="1077"/>
      <c r="B312" s="1078"/>
      <c r="C312" s="1077"/>
    </row>
    <row r="313" spans="1:3" ht="14.4" customHeight="1" x14ac:dyDescent="0.35">
      <c r="A313" s="1077"/>
      <c r="B313" s="1078"/>
      <c r="C313" s="1077"/>
    </row>
    <row r="314" spans="1:3" ht="14.4" customHeight="1" x14ac:dyDescent="0.35">
      <c r="A314" s="1077"/>
      <c r="B314" s="1078"/>
      <c r="C314" s="1077"/>
    </row>
    <row r="315" spans="1:3" ht="14.4" customHeight="1" x14ac:dyDescent="0.35">
      <c r="A315" s="1077"/>
      <c r="B315" s="1078"/>
      <c r="C315" s="1077"/>
    </row>
    <row r="316" spans="1:3" ht="14.4" customHeight="1" x14ac:dyDescent="0.35">
      <c r="A316" s="1077"/>
      <c r="B316" s="1078"/>
      <c r="C316" s="1077"/>
    </row>
    <row r="317" spans="1:3" ht="14.4" customHeight="1" x14ac:dyDescent="0.35">
      <c r="A317" s="1077"/>
      <c r="B317" s="1078"/>
      <c r="C317" s="1077"/>
    </row>
    <row r="318" spans="1:3" ht="14.4" customHeight="1" x14ac:dyDescent="0.35">
      <c r="A318" s="1077"/>
      <c r="B318" s="1078"/>
      <c r="C318" s="1077"/>
    </row>
    <row r="319" spans="1:3" ht="14.4" customHeight="1" x14ac:dyDescent="0.35">
      <c r="A319" s="1077"/>
      <c r="B319" s="1078"/>
      <c r="C319" s="1077"/>
    </row>
    <row r="320" spans="1:3" ht="14.4" customHeight="1" x14ac:dyDescent="0.35">
      <c r="A320" s="1077"/>
      <c r="B320" s="1078"/>
      <c r="C320" s="1077"/>
    </row>
    <row r="321" spans="1:3" ht="14.4" customHeight="1" x14ac:dyDescent="0.35">
      <c r="A321" s="1077"/>
      <c r="B321" s="1078"/>
      <c r="C321" s="1077"/>
    </row>
    <row r="322" spans="1:3" ht="14.4" customHeight="1" x14ac:dyDescent="0.35">
      <c r="A322" s="1077"/>
      <c r="B322" s="1078"/>
      <c r="C322" s="1077"/>
    </row>
    <row r="323" spans="1:3" ht="14.4" customHeight="1" x14ac:dyDescent="0.35">
      <c r="A323" s="1077"/>
      <c r="B323" s="1078"/>
      <c r="C323" s="1077"/>
    </row>
  </sheetData>
  <sheetProtection algorithmName="SHA-512" hashValue="KOHVPOy+kmBCaItzo4xULZjUuM7YkkkbyM0DlEgKS6al4L+0Om1Ic+6iEgi/d2qzMds0uAgT0bE02tiwgixpgw==" saltValue="OfAs6qA5EurGMeYE2HogMw==" spinCount="100000" sheet="1" objects="1" scenarios="1"/>
  <sortState xmlns:xlrd2="http://schemas.microsoft.com/office/spreadsheetml/2017/richdata2" ref="Q119:S122">
    <sortCondition ref="Q50:Q52"/>
  </sortState>
  <mergeCells count="100">
    <mergeCell ref="F111:G111"/>
    <mergeCell ref="F112:G112"/>
    <mergeCell ref="I110:J110"/>
    <mergeCell ref="I111:J111"/>
    <mergeCell ref="I112:J112"/>
    <mergeCell ref="I106:J106"/>
    <mergeCell ref="I107:J107"/>
    <mergeCell ref="I108:J108"/>
    <mergeCell ref="I109:J109"/>
    <mergeCell ref="F110:G110"/>
    <mergeCell ref="W100:AA102"/>
    <mergeCell ref="W107:AA108"/>
    <mergeCell ref="W106:Z106"/>
    <mergeCell ref="Q55:U64"/>
    <mergeCell ref="L51:M51"/>
    <mergeCell ref="W99:Z99"/>
    <mergeCell ref="Q92:U93"/>
    <mergeCell ref="K56:L56"/>
    <mergeCell ref="B125:B133"/>
    <mergeCell ref="D125:O125"/>
    <mergeCell ref="B96:B116"/>
    <mergeCell ref="F88:H88"/>
    <mergeCell ref="E127:N132"/>
    <mergeCell ref="E98:G98"/>
    <mergeCell ref="D96:O96"/>
    <mergeCell ref="F104:G104"/>
    <mergeCell ref="F105:G105"/>
    <mergeCell ref="F106:G106"/>
    <mergeCell ref="F107:G107"/>
    <mergeCell ref="F108:G108"/>
    <mergeCell ref="F109:G109"/>
    <mergeCell ref="I103:J103"/>
    <mergeCell ref="I104:J104"/>
    <mergeCell ref="I105:J105"/>
    <mergeCell ref="I83:J83"/>
    <mergeCell ref="K68:N68"/>
    <mergeCell ref="B118:B123"/>
    <mergeCell ref="D118:O118"/>
    <mergeCell ref="H120:K120"/>
    <mergeCell ref="K102:L102"/>
    <mergeCell ref="I75:J75"/>
    <mergeCell ref="B66:B84"/>
    <mergeCell ref="E101:G101"/>
    <mergeCell ref="I76:J76"/>
    <mergeCell ref="I77:J77"/>
    <mergeCell ref="I78:J78"/>
    <mergeCell ref="E99:G99"/>
    <mergeCell ref="E100:G100"/>
    <mergeCell ref="I74:J74"/>
    <mergeCell ref="I81:J81"/>
    <mergeCell ref="I41:J41"/>
    <mergeCell ref="D66:O66"/>
    <mergeCell ref="I46:J46"/>
    <mergeCell ref="I44:J44"/>
    <mergeCell ref="I45:J45"/>
    <mergeCell ref="I47:J47"/>
    <mergeCell ref="I48:J48"/>
    <mergeCell ref="W20:AA21"/>
    <mergeCell ref="J31:L31"/>
    <mergeCell ref="D3:H3"/>
    <mergeCell ref="X12:Y12"/>
    <mergeCell ref="Z12:AA12"/>
    <mergeCell ref="W29:AA29"/>
    <mergeCell ref="J30:N30"/>
    <mergeCell ref="B4:B24"/>
    <mergeCell ref="D4:O4"/>
    <mergeCell ref="I14:J14"/>
    <mergeCell ref="I15:J15"/>
    <mergeCell ref="I16:J16"/>
    <mergeCell ref="I17:J17"/>
    <mergeCell ref="I18:J18"/>
    <mergeCell ref="I13:J13"/>
    <mergeCell ref="F22:J22"/>
    <mergeCell ref="F23:G23"/>
    <mergeCell ref="D10:O10"/>
    <mergeCell ref="I82:J82"/>
    <mergeCell ref="K57:L57"/>
    <mergeCell ref="K61:L61"/>
    <mergeCell ref="K62:L62"/>
    <mergeCell ref="I72:J72"/>
    <mergeCell ref="F68:J68"/>
    <mergeCell ref="I69:J69"/>
    <mergeCell ref="I70:J70"/>
    <mergeCell ref="I71:J71"/>
    <mergeCell ref="B26:B52"/>
    <mergeCell ref="B54:B64"/>
    <mergeCell ref="B86:B94"/>
    <mergeCell ref="D26:O26"/>
    <mergeCell ref="R27:T27"/>
    <mergeCell ref="I40:J40"/>
    <mergeCell ref="I42:J42"/>
    <mergeCell ref="I43:J43"/>
    <mergeCell ref="N41:N43"/>
    <mergeCell ref="N46:N48"/>
    <mergeCell ref="F50:G50"/>
    <mergeCell ref="D54:O54"/>
    <mergeCell ref="D86:O86"/>
    <mergeCell ref="I73:J73"/>
    <mergeCell ref="I79:J79"/>
    <mergeCell ref="I80:J80"/>
  </mergeCells>
  <phoneticPr fontId="39" type="noConversion"/>
  <conditionalFormatting sqref="E50:F50">
    <cfRule type="expression" dxfId="38" priority="40">
      <formula>IF(OR($E$50&gt;Area_Irrigated_Total,$E$50&lt;Area_Irrigated_Total),TRUE)</formula>
    </cfRule>
  </conditionalFormatting>
  <conditionalFormatting sqref="F15 F22:F23">
    <cfRule type="expression" dxfId="37" priority="52">
      <formula>IF(AND($I$15&gt;0, ISBLANK($G$15)),TRUE,FALSE)</formula>
    </cfRule>
  </conditionalFormatting>
  <conditionalFormatting sqref="H70:I81 L70:N81">
    <cfRule type="cellIs" dxfId="36" priority="30" operator="notBetween">
      <formula>0</formula>
      <formula>10000000</formula>
    </cfRule>
  </conditionalFormatting>
  <conditionalFormatting sqref="I31:L33">
    <cfRule type="expression" dxfId="35" priority="23">
      <formula>IF(AND($H$28="Yes",OR($H$32="",$H$33="")),TRUE,FALSE)</formula>
    </cfRule>
  </conditionalFormatting>
  <conditionalFormatting sqref="I57:L57">
    <cfRule type="expression" dxfId="34" priority="28">
      <formula>IF(AND($H$56="Yes",$H$57=""),1,0)</formula>
    </cfRule>
  </conditionalFormatting>
  <conditionalFormatting sqref="I61:L61">
    <cfRule type="expression" dxfId="33" priority="27">
      <formula>IF(AND($H$56="Yes",$H$61=""),1,0)</formula>
    </cfRule>
  </conditionalFormatting>
  <conditionalFormatting sqref="I62:L62">
    <cfRule type="expression" dxfId="32" priority="26">
      <formula>IF(AND($H$56="Yes",$H$62=""),1,0)</formula>
    </cfRule>
  </conditionalFormatting>
  <conditionalFormatting sqref="J30">
    <cfRule type="expression" dxfId="31" priority="24">
      <formula>IF(Area_Irrigated_Total&gt;(Area_Vegetated_Post_Development+Area_Green_Roof_Post_Development),1,0)</formula>
    </cfRule>
  </conditionalFormatting>
  <conditionalFormatting sqref="N41">
    <cfRule type="expression" dxfId="30" priority="3">
      <formula>IF(AND(_xlfn.SINGLE($E$48)&gt;0,$L$48=""),TRUE,FALSE)</formula>
    </cfRule>
    <cfRule type="expression" dxfId="29" priority="4">
      <formula>IF(AND(_xlfn.SINGLE($E$47)&gt;0,$L$47=""),TRUE,FALSE)</formula>
    </cfRule>
    <cfRule type="expression" dxfId="28" priority="5">
      <formula>IF(AND(_xlfn.SINGLE($E$46)&gt;0,$L$46=""),TRUE,FALSE)</formula>
    </cfRule>
    <cfRule type="expression" dxfId="27" priority="6">
      <formula>IF(AND(_xlfn.SINGLE($E$45)&gt;0,$L$45=""),TRUE,FALSE)</formula>
    </cfRule>
    <cfRule type="expression" dxfId="26" priority="7">
      <formula>IF(AND(_xlfn.SINGLE($E$44)&gt;0,$L$44=""),TRUE,FALSE)</formula>
    </cfRule>
    <cfRule type="expression" dxfId="25" priority="8">
      <formula>IF(AND(_xlfn.SINGLE($E$43)&gt;0,$L$43=""),TRUE,FALSE)</formula>
    </cfRule>
    <cfRule type="expression" dxfId="24" priority="9">
      <formula>IF(AND(_xlfn.SINGLE($E$42)&gt;0,$L$42=""),TRUE,FALSE)</formula>
    </cfRule>
    <cfRule type="expression" dxfId="23" priority="63">
      <formula>IF(AND(_xlfn.SINGLE($E$41)&gt;0,$L$41=""),TRUE,FALSE)</formula>
    </cfRule>
  </conditionalFormatting>
  <conditionalFormatting sqref="N44">
    <cfRule type="expression" dxfId="22" priority="17">
      <formula>IF(AND(F48="Pool, Spa, Water Feature",H48&lt;&gt;"Not Applicable"),TRUE,FALSE)</formula>
    </cfRule>
    <cfRule type="expression" dxfId="21" priority="18">
      <formula>IF(AND(F47="Pool, Spa, Water Feature",H47&lt;&gt;"Not Applicable"),TRUE,FALSE)</formula>
    </cfRule>
    <cfRule type="expression" dxfId="20" priority="19">
      <formula>IF(AND(F46="Pool, Spa, Water Feature",H46&lt;&gt;"Not Applicable"),TRUE,FALSE)</formula>
    </cfRule>
    <cfRule type="expression" dxfId="19" priority="20">
      <formula>IF(AND(F45="Pool, Spa, Water Feature",H45&lt;&gt;"Not Applicable"),TRUE,FALSE)</formula>
    </cfRule>
    <cfRule type="expression" dxfId="18" priority="21">
      <formula>IF(AND(F44="Pool, Spa, Water Feature",H44&lt;&gt;"Not Applicable"),TRUE,FALSE)</formula>
    </cfRule>
    <cfRule type="expression" dxfId="17" priority="22">
      <formula>IF(AND(F43="Pool, Spa, Water Feature",H43&lt;&gt;"Not Applicable"),TRUE,FALSE)</formula>
    </cfRule>
    <cfRule type="expression" dxfId="16" priority="64">
      <formula>IF(AND(F42="Pool, Spa, Water Feature",H42&lt;&gt;"Not Applicable"),TRUE,FALSE)</formula>
    </cfRule>
  </conditionalFormatting>
  <conditionalFormatting sqref="N46">
    <cfRule type="expression" dxfId="15" priority="10">
      <formula>IF(AND(F48&lt;&gt;"Turfgrass",H48="Fixed Spray"),TRUE,FALSE)</formula>
    </cfRule>
    <cfRule type="expression" dxfId="14" priority="11">
      <formula>IF(AND(F47&lt;&gt;"Turfgrass",H47="Fixed Spray"),TRUE,FALSE)</formula>
    </cfRule>
    <cfRule type="expression" dxfId="13" priority="12">
      <formula>IF(AND(F46&lt;&gt;"Turfgrass",H46="Fixed Spray"),TRUE,FALSE)</formula>
    </cfRule>
    <cfRule type="expression" dxfId="12" priority="13">
      <formula>IF(AND(F45&lt;&gt;"Turfgrass",H45="Fixed Spray"),TRUE,FALSE)</formula>
    </cfRule>
    <cfRule type="expression" dxfId="11" priority="14">
      <formula>IF(AND(F44&lt;&gt;"Turfgrass",H44="Fixed Spray"),TRUE,FALSE)</formula>
    </cfRule>
    <cfRule type="expression" dxfId="10" priority="15">
      <formula>IF(AND(F42&lt;&gt;"Turfgrass",H42="Fixed Spray"),TRUE,FALSE)</formula>
    </cfRule>
    <cfRule type="expression" dxfId="9" priority="16">
      <formula>IF(AND(F43&lt;&gt;"Turfgrass",H43="Fixed Spray"),TRUE,FALSE)</formula>
    </cfRule>
  </conditionalFormatting>
  <dataValidations xWindow="1015" yWindow="426" count="21">
    <dataValidation type="list" allowBlank="1" showErrorMessage="1" sqref="H120:I120" xr:uid="{CA48238E-A74B-4FD6-98DB-82A7AF81E87B}">
      <formula1>Runoff_Type_Headers</formula1>
    </dataValidation>
    <dataValidation type="list" allowBlank="1" showInputMessage="1" showErrorMessage="1" sqref="H98" xr:uid="{A5D14834-D1EC-4FEB-A0D2-44CD4226A04A}">
      <formula1>"80th Percentile, 85th Percentile, 90th Percentile, 2yr-24hr"</formula1>
    </dataValidation>
    <dataValidation type="list" allowBlank="1" showErrorMessage="1" sqref="H57" xr:uid="{CDB2ED2F-7CB7-41DA-A00F-6B22ACC5B9DA}">
      <formula1>"10%,20%,30%,40%,50%,60%,70%,80%,90%,100%"</formula1>
    </dataValidation>
    <dataValidation allowBlank="1" showInputMessage="1" showErrorMessage="1" prompt="Choose the closest city from the table to the right" sqref="E99" xr:uid="{DD0F8741-CE26-45CF-AC73-50E5227B2CAB}"/>
    <dataValidation allowBlank="1" showInputMessage="1" showErrorMessage="1" prompt="This can be either a cistern, a retention pond, or some other form of on site rainwater storage" sqref="E101" xr:uid="{67643057-A6DB-457E-AC77-2C5FD973F656}"/>
    <dataValidation type="list" allowBlank="1" showErrorMessage="1" sqref="H61:H62" xr:uid="{B98AB566-70FD-4545-9ED2-A6C9A466258B}">
      <formula1>"Yes,No,n/a"</formula1>
    </dataValidation>
    <dataValidation type="list" allowBlank="1" showErrorMessage="1" sqref="H28 H56" xr:uid="{D5ADCC23-11AE-4C0D-87BF-4B2C39B70FC9}">
      <formula1>"Yes,No"</formula1>
    </dataValidation>
    <dataValidation type="list" allowBlank="1" showErrorMessage="1" sqref="H31" xr:uid="{13562995-3039-449F-BDF4-A52DE65D34D2}">
      <formula1>"Jan,Feb,Mar,Apr,May,Jun,Jul,Aug,Sept,Oct,Nov,Dec"</formula1>
    </dataValidation>
    <dataValidation type="decimal" allowBlank="1" showErrorMessage="1" error="Numerical input as a decimal or whole number only. " sqref="H32:H33" xr:uid="{C516199C-742C-474C-9D6A-B4969C0CC2F3}">
      <formula1>0</formula1>
      <formula2>100</formula2>
    </dataValidation>
    <dataValidation allowBlank="1" showInputMessage="1" showErrorMessage="1" promptTitle="Default Usage" prompt="This column will automatically populate using area weighted values from the Program Calcs and Reference Tables tabs based on the building program entered in the Introduction Tab." sqref="I13" xr:uid="{5F1A3C80-16A5-4560-A13C-15EA997F7552}"/>
    <dataValidation type="list" allowBlank="1" showInputMessage="1" showErrorMessage="1" sqref="F41:F48" xr:uid="{24C4CA12-1E99-4198-95B6-1EA1ED93B71A}">
      <formula1>Plant_Type_Table_Headers</formula1>
    </dataValidation>
    <dataValidation type="list" allowBlank="1" showInputMessage="1" showErrorMessage="1" sqref="G41:G48" xr:uid="{4BCB5109-FD27-4188-9A6A-9E3E293398A4}">
      <formula1>"Low,Medium,High"</formula1>
    </dataValidation>
    <dataValidation type="list" allowBlank="1" showInputMessage="1" showErrorMessage="1" sqref="H41:H48" xr:uid="{D0DB656A-F9F9-4E9E-900A-F51AA8BE7E6A}">
      <formula1>Irrigation_Type_Headers</formula1>
    </dataValidation>
    <dataValidation allowBlank="1" showInputMessage="1" showErrorMessage="1" prompt="See 03 Ecosystems for Medium Quality (MQ) or High Quality (HQ) planting types. " sqref="F108" xr:uid="{243FA672-FE71-4242-BACB-3C41EA91CD4C}"/>
    <dataValidation allowBlank="1" showInputMessage="1" showErrorMessage="1" prompt="See 03 Ecosystems for Low Quality (LQ) planting types. " sqref="F107" xr:uid="{C9ABB5D3-32F2-4DD7-90F7-61F9091F06A4}"/>
    <dataValidation type="decimal" allowBlank="1" showInputMessage="1" showErrorMessage="1" error="Numerical input as a decimal or whole number only. " sqref="G14:G18" xr:uid="{D67FD8A5-53F9-4D90-9C32-DC88B6069893}">
      <formula1>0</formula1>
      <formula2>10</formula2>
    </dataValidation>
    <dataValidation type="whole" allowBlank="1" showErrorMessage="1" error="Numerical input as a whole number only. " sqref="H30" xr:uid="{212E8CCB-5BF6-4307-997E-60F049B2E644}">
      <formula1>0</formula1>
      <formula2>100000000</formula2>
    </dataValidation>
    <dataValidation type="whole" allowBlank="1" showInputMessage="1" showErrorMessage="1" error="Numerical input as a whole number only. " sqref="E41:E48" xr:uid="{D3B01439-FDB2-47F2-A64B-8208D0BC9E9A}">
      <formula1>0</formula1>
      <formula2>1000000000</formula2>
    </dataValidation>
    <dataValidation type="whole" allowBlank="1" showInputMessage="1" showErrorMessage="1" error="Numerical input as a decimal or whole number only. " sqref="H70:J81 L70:N81" xr:uid="{A9BA2134-25A3-4F0B-9F9A-D968F47C4EFD}">
      <formula1>0</formula1>
      <formula2>1000000000</formula2>
    </dataValidation>
    <dataValidation type="decimal" allowBlank="1" showInputMessage="1" showErrorMessage="1" error="Numerical input as a decimal or whole number only. " sqref="H99 H104:H112" xr:uid="{5A7CA002-DB29-4A1E-A4E3-6862B20571F6}">
      <formula1>0</formula1>
      <formula2>10000000000</formula2>
    </dataValidation>
    <dataValidation type="whole" allowBlank="1" showInputMessage="1" showErrorMessage="1" error="Numerical input as a whole number only. " sqref="H101 I110:J112" xr:uid="{7A349AF8-C2EB-4DCC-B28A-1621D73248CE}">
      <formula1>0</formula1>
      <formula2>10000000000</formula2>
    </dataValidation>
  </dataValidations>
  <hyperlinks>
    <hyperlink ref="J31:K31" r:id="rId1" display="Use EPA's Water Budget Data Finder" xr:uid="{9B626D3F-8E15-4BC2-B058-F94CD792BD91}"/>
    <hyperlink ref="W29:AA29" r:id="rId2" display="EPA WaterSense Budget Tool" xr:uid="{B85F3D55-354F-42C0-84F4-37A32E21B2AC}"/>
    <hyperlink ref="W99:Z99" r:id="rId3" display="NOAA Precipitation Frequency Data Server" xr:uid="{8956B107-5B59-476A-BB5B-61B727E60476}"/>
  </hyperlinks>
  <pageMargins left="0.7" right="0.7" top="0.75" bottom="0.75" header="0" footer="0"/>
  <pageSetup orientation="landscape"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outlinePr summaryBelow="0" summaryRight="0"/>
  </sheetPr>
  <dimension ref="A1:AR999"/>
  <sheetViews>
    <sheetView workbookViewId="0">
      <selection activeCell="F6" sqref="F6:G6"/>
    </sheetView>
  </sheetViews>
  <sheetFormatPr defaultColWidth="14.453125" defaultRowHeight="15" customHeight="1" x14ac:dyDescent="0.35"/>
  <cols>
    <col min="1" max="1" width="4.08984375" customWidth="1"/>
    <col min="2" max="2" width="29.6328125" customWidth="1"/>
    <col min="3" max="4" width="3.36328125" customWidth="1"/>
    <col min="5" max="5" width="38.6328125" customWidth="1"/>
    <col min="6" max="7" width="14.6328125" customWidth="1"/>
    <col min="8" max="8" width="8.90625" customWidth="1"/>
    <col min="9" max="9" width="18.36328125" style="1112" customWidth="1"/>
    <col min="10" max="10" width="64.36328125" customWidth="1"/>
    <col min="11" max="11" width="3.6328125" customWidth="1"/>
    <col min="12" max="12" width="3.36328125" customWidth="1"/>
    <col min="13" max="13" width="24.453125" customWidth="1"/>
    <col min="14" max="14" width="6.08984375" customWidth="1"/>
    <col min="15" max="15" width="8.6328125" customWidth="1"/>
    <col min="16" max="16" width="3.36328125" customWidth="1"/>
    <col min="17" max="19" width="11.453125" customWidth="1"/>
    <col min="20" max="20" width="8.6328125" customWidth="1"/>
  </cols>
  <sheetData>
    <row r="1" spans="1:39" ht="21" x14ac:dyDescent="0.35">
      <c r="A1" s="343"/>
      <c r="B1" s="343" t="s">
        <v>696</v>
      </c>
      <c r="C1" s="343"/>
      <c r="D1" s="343"/>
      <c r="E1" s="343"/>
      <c r="F1" s="343"/>
      <c r="G1" s="343"/>
      <c r="H1" s="1080"/>
      <c r="I1" s="1081"/>
      <c r="J1" s="1080"/>
      <c r="K1" s="1080"/>
      <c r="L1" s="1080"/>
      <c r="M1" s="1080"/>
      <c r="N1" s="1080"/>
      <c r="O1" s="1080"/>
      <c r="P1" s="1080"/>
      <c r="Q1" s="1080"/>
      <c r="R1" s="1080"/>
      <c r="S1" s="1080"/>
      <c r="T1" s="484"/>
      <c r="U1" s="484"/>
      <c r="V1" s="484"/>
      <c r="W1" s="484"/>
      <c r="X1" s="484"/>
      <c r="Y1" s="484"/>
      <c r="Z1" s="484"/>
      <c r="AA1" s="484"/>
      <c r="AB1" s="484"/>
      <c r="AC1" s="484"/>
      <c r="AD1" s="484"/>
      <c r="AE1" s="484"/>
      <c r="AF1" s="484"/>
      <c r="AG1" s="484"/>
      <c r="AH1" s="484"/>
      <c r="AI1" s="484"/>
      <c r="AJ1" s="484"/>
      <c r="AK1" s="484"/>
      <c r="AL1" s="484"/>
      <c r="AM1" s="484"/>
    </row>
    <row r="2" spans="1:39" ht="14.5" x14ac:dyDescent="0.35">
      <c r="A2" s="484"/>
      <c r="B2" s="484"/>
      <c r="C2" s="484"/>
      <c r="D2" s="484"/>
      <c r="E2" s="1082"/>
      <c r="F2" s="1083"/>
      <c r="G2" s="1083"/>
      <c r="H2" s="484"/>
      <c r="I2" s="10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J2" s="484"/>
      <c r="AK2" s="484"/>
      <c r="AL2" s="484"/>
      <c r="AM2" s="484"/>
    </row>
    <row r="3" spans="1:39" s="694" customFormat="1" thickBot="1" x14ac:dyDescent="0.4">
      <c r="A3" s="693"/>
      <c r="B3" s="493" t="s">
        <v>71</v>
      </c>
      <c r="C3" s="493"/>
      <c r="D3" s="1588" t="s">
        <v>683</v>
      </c>
      <c r="E3" s="1588"/>
      <c r="F3" s="1588"/>
      <c r="G3" s="1588"/>
      <c r="H3" s="1588"/>
      <c r="I3" s="1588"/>
      <c r="J3" s="693"/>
      <c r="K3" s="693"/>
      <c r="L3" s="693"/>
      <c r="M3" s="493" t="s">
        <v>118</v>
      </c>
      <c r="N3" s="693"/>
      <c r="O3" s="693"/>
      <c r="P3" s="693"/>
      <c r="Q3" s="493" t="s">
        <v>119</v>
      </c>
      <c r="R3" s="693"/>
      <c r="S3" s="693"/>
      <c r="T3" s="693"/>
      <c r="U3" s="693"/>
      <c r="V3" s="693"/>
      <c r="W3" s="693"/>
      <c r="X3" s="693"/>
      <c r="Y3" s="693"/>
      <c r="Z3" s="693"/>
      <c r="AA3" s="693"/>
      <c r="AB3" s="693"/>
      <c r="AC3" s="693"/>
      <c r="AD3" s="693"/>
      <c r="AE3" s="693"/>
      <c r="AF3" s="693"/>
      <c r="AG3" s="693"/>
      <c r="AH3" s="693"/>
      <c r="AI3" s="693"/>
      <c r="AJ3" s="693"/>
      <c r="AK3" s="693"/>
      <c r="AL3" s="693"/>
      <c r="AM3" s="693"/>
    </row>
    <row r="4" spans="1:39" s="632" customFormat="1" ht="14.5" x14ac:dyDescent="0.35">
      <c r="A4" s="484"/>
      <c r="B4" s="1622" t="s">
        <v>317</v>
      </c>
      <c r="C4" s="1"/>
      <c r="D4" s="1732" t="s">
        <v>698</v>
      </c>
      <c r="E4" s="1733"/>
      <c r="F4" s="1733"/>
      <c r="G4" s="1733"/>
      <c r="H4" s="1733"/>
      <c r="I4" s="1733"/>
      <c r="J4" s="1733"/>
      <c r="K4" s="1734"/>
      <c r="L4" s="1"/>
      <c r="M4" s="1088"/>
      <c r="N4" s="1088"/>
      <c r="O4" s="1088"/>
      <c r="P4" s="1"/>
      <c r="Q4" s="359" t="s">
        <v>318</v>
      </c>
      <c r="R4" s="1088"/>
      <c r="S4" s="1088"/>
      <c r="T4" s="484"/>
      <c r="U4" s="484"/>
      <c r="V4" s="484"/>
      <c r="W4" s="484"/>
      <c r="X4" s="484"/>
      <c r="Y4" s="484"/>
      <c r="Z4" s="484"/>
      <c r="AA4" s="484"/>
      <c r="AB4" s="484"/>
      <c r="AC4" s="484"/>
      <c r="AD4" s="484"/>
      <c r="AE4" s="484"/>
      <c r="AF4" s="484"/>
      <c r="AG4" s="484"/>
      <c r="AH4" s="484"/>
      <c r="AI4" s="484"/>
      <c r="AJ4" s="484"/>
      <c r="AK4" s="484"/>
      <c r="AL4" s="484"/>
      <c r="AM4" s="484"/>
    </row>
    <row r="5" spans="1:39" ht="14.5" x14ac:dyDescent="0.35">
      <c r="A5" s="484"/>
      <c r="B5" s="1708"/>
      <c r="C5" s="1"/>
      <c r="D5" s="1089"/>
      <c r="E5" s="772"/>
      <c r="F5" s="772"/>
      <c r="G5" s="772"/>
      <c r="H5" s="772"/>
      <c r="I5" s="1090"/>
      <c r="J5" s="772"/>
      <c r="K5" s="774"/>
      <c r="L5" s="1"/>
      <c r="M5" s="1088"/>
      <c r="N5" s="1088"/>
      <c r="O5" s="1088"/>
      <c r="P5" s="1"/>
      <c r="Q5" s="1088"/>
      <c r="R5" s="1088"/>
      <c r="S5" s="1088"/>
      <c r="T5" s="484"/>
      <c r="U5" s="484"/>
      <c r="V5" s="484"/>
      <c r="W5" s="484"/>
      <c r="X5" s="484"/>
      <c r="Y5" s="484"/>
      <c r="Z5" s="484"/>
      <c r="AA5" s="484"/>
      <c r="AB5" s="484"/>
      <c r="AC5" s="484"/>
      <c r="AD5" s="484"/>
      <c r="AE5" s="484"/>
      <c r="AF5" s="484"/>
      <c r="AG5" s="484"/>
      <c r="AH5" s="484"/>
      <c r="AI5" s="484"/>
      <c r="AJ5" s="484"/>
      <c r="AK5" s="484"/>
      <c r="AL5" s="484"/>
      <c r="AM5" s="484"/>
    </row>
    <row r="6" spans="1:39" ht="14.5" x14ac:dyDescent="0.35">
      <c r="A6" s="484"/>
      <c r="B6" s="1708"/>
      <c r="C6" s="1"/>
      <c r="D6" s="1091"/>
      <c r="E6" s="776" t="s">
        <v>319</v>
      </c>
      <c r="F6" s="1742"/>
      <c r="G6" s="1742"/>
      <c r="H6" s="1092" t="s">
        <v>930</v>
      </c>
      <c r="I6" s="776" t="s">
        <v>320</v>
      </c>
      <c r="J6" s="10"/>
      <c r="K6" s="778"/>
      <c r="L6" s="1"/>
      <c r="M6" s="1088"/>
      <c r="N6" s="1088"/>
      <c r="O6" s="1088"/>
      <c r="P6" s="1"/>
      <c r="Q6" s="1088"/>
      <c r="R6" s="1088"/>
      <c r="S6" s="1088"/>
      <c r="T6" s="484"/>
      <c r="U6" s="484"/>
      <c r="V6" s="484"/>
      <c r="W6" s="484"/>
      <c r="X6" s="484"/>
      <c r="Y6" s="484"/>
      <c r="Z6" s="484"/>
      <c r="AA6" s="484"/>
      <c r="AB6" s="484"/>
      <c r="AC6" s="484"/>
      <c r="AD6" s="484"/>
      <c r="AE6" s="484"/>
      <c r="AF6" s="484"/>
      <c r="AG6" s="484"/>
      <c r="AH6" s="484"/>
      <c r="AI6" s="484"/>
      <c r="AJ6" s="484"/>
      <c r="AK6" s="484"/>
      <c r="AL6" s="484"/>
      <c r="AM6" s="484"/>
    </row>
    <row r="7" spans="1:39" thickBot="1" x14ac:dyDescent="0.4">
      <c r="A7" s="484"/>
      <c r="B7" s="1708"/>
      <c r="C7" s="1"/>
      <c r="D7" s="1091"/>
      <c r="E7" s="776" t="s">
        <v>321</v>
      </c>
      <c r="F7" s="1725" t="str">
        <f>Construction_Cost_per_SF_Actual</f>
        <v/>
      </c>
      <c r="G7" s="1725"/>
      <c r="H7" s="1092" t="s">
        <v>930</v>
      </c>
      <c r="I7" s="776"/>
      <c r="J7" s="1093"/>
      <c r="K7" s="778"/>
      <c r="L7" s="1"/>
      <c r="M7" s="1088"/>
      <c r="N7" s="1088"/>
      <c r="O7" s="1088"/>
      <c r="P7" s="1"/>
      <c r="Q7" s="1088"/>
      <c r="R7" s="1088"/>
      <c r="S7" s="1088"/>
      <c r="T7" s="484"/>
      <c r="U7" s="484"/>
      <c r="V7" s="484"/>
      <c r="W7" s="484"/>
      <c r="X7" s="484"/>
      <c r="Y7" s="484"/>
      <c r="Z7" s="484"/>
      <c r="AA7" s="484"/>
      <c r="AB7" s="484"/>
      <c r="AC7" s="484"/>
      <c r="AD7" s="484"/>
      <c r="AE7" s="484"/>
      <c r="AF7" s="484"/>
      <c r="AG7" s="484"/>
      <c r="AH7" s="484"/>
      <c r="AI7" s="484"/>
      <c r="AJ7" s="484"/>
      <c r="AK7" s="484"/>
      <c r="AL7" s="484"/>
      <c r="AM7" s="484"/>
    </row>
    <row r="8" spans="1:39" thickBot="1" x14ac:dyDescent="0.4">
      <c r="A8" s="484"/>
      <c r="B8" s="1708"/>
      <c r="C8" s="1"/>
      <c r="D8" s="1091"/>
      <c r="E8" s="797" t="s">
        <v>947</v>
      </c>
      <c r="F8" s="1726">
        <f>IFERROR(IF(Construction_Cost_per_SF_Benchmark=0,0,(1-(7:7/6:6))),0)</f>
        <v>0</v>
      </c>
      <c r="G8" s="1727"/>
      <c r="H8" s="1092"/>
      <c r="I8" s="776"/>
      <c r="J8" s="777"/>
      <c r="K8" s="778"/>
      <c r="L8" s="1"/>
      <c r="M8" s="1088"/>
      <c r="N8" s="1088"/>
      <c r="O8" s="1088"/>
      <c r="P8" s="1"/>
      <c r="Q8" s="1088"/>
      <c r="R8" s="1088"/>
      <c r="S8" s="1088"/>
      <c r="T8" s="484"/>
      <c r="U8" s="484"/>
      <c r="V8" s="484"/>
      <c r="W8" s="484"/>
      <c r="X8" s="484"/>
      <c r="Y8" s="484"/>
      <c r="Z8" s="484"/>
      <c r="AA8" s="484"/>
      <c r="AB8" s="484"/>
      <c r="AC8" s="484"/>
      <c r="AD8" s="484"/>
      <c r="AE8" s="484"/>
      <c r="AF8" s="484"/>
      <c r="AG8" s="484"/>
      <c r="AH8" s="484"/>
      <c r="AI8" s="484"/>
      <c r="AJ8" s="484"/>
      <c r="AK8" s="484"/>
      <c r="AL8" s="484"/>
      <c r="AM8" s="484"/>
    </row>
    <row r="9" spans="1:39" ht="14.5" x14ac:dyDescent="0.35">
      <c r="A9" s="484"/>
      <c r="B9" s="1708"/>
      <c r="C9" s="1"/>
      <c r="D9" s="1094"/>
      <c r="E9" s="1095"/>
      <c r="F9" s="782"/>
      <c r="G9" s="782"/>
      <c r="H9" s="782"/>
      <c r="I9" s="1095"/>
      <c r="J9" s="782"/>
      <c r="K9" s="783"/>
      <c r="L9" s="1"/>
      <c r="M9" s="1088"/>
      <c r="N9" s="1088"/>
      <c r="O9" s="1088"/>
      <c r="P9" s="1"/>
      <c r="Q9" s="1088"/>
      <c r="R9" s="1088"/>
      <c r="S9" s="1088"/>
      <c r="T9" s="484"/>
      <c r="U9" s="484"/>
      <c r="V9" s="484"/>
      <c r="W9" s="484"/>
      <c r="X9" s="484"/>
      <c r="Y9" s="484"/>
      <c r="Z9" s="484"/>
      <c r="AA9" s="484"/>
      <c r="AB9" s="484"/>
      <c r="AC9" s="484"/>
      <c r="AD9" s="484"/>
      <c r="AE9" s="484"/>
      <c r="AF9" s="484"/>
      <c r="AG9" s="484"/>
      <c r="AH9" s="484"/>
      <c r="AI9" s="484"/>
      <c r="AJ9" s="484"/>
      <c r="AK9" s="484"/>
      <c r="AL9" s="484"/>
      <c r="AM9" s="484"/>
    </row>
    <row r="10" spans="1:39" ht="14.5" x14ac:dyDescent="0.35">
      <c r="A10" s="484"/>
      <c r="B10" s="1"/>
      <c r="C10" s="1"/>
      <c r="D10" s="1"/>
      <c r="E10" s="1"/>
      <c r="F10" s="1"/>
      <c r="G10" s="1"/>
      <c r="H10" s="1"/>
      <c r="I10" s="1096"/>
      <c r="J10" s="1"/>
      <c r="K10" s="1"/>
      <c r="L10" s="1"/>
      <c r="M10" s="1"/>
      <c r="N10" s="1"/>
      <c r="O10" s="1"/>
      <c r="P10" s="1"/>
      <c r="Q10" s="1"/>
      <c r="R10" s="1"/>
      <c r="S10" s="1"/>
      <c r="T10" s="484"/>
      <c r="U10" s="484"/>
      <c r="V10" s="484"/>
      <c r="W10" s="484"/>
      <c r="X10" s="484"/>
      <c r="Y10" s="484"/>
      <c r="Z10" s="484"/>
      <c r="AA10" s="484"/>
      <c r="AB10" s="484"/>
      <c r="AC10" s="484"/>
      <c r="AD10" s="484"/>
      <c r="AE10" s="484"/>
      <c r="AF10" s="484"/>
      <c r="AG10" s="484"/>
      <c r="AH10" s="484"/>
      <c r="AI10" s="484"/>
      <c r="AJ10" s="484"/>
      <c r="AK10" s="484"/>
      <c r="AL10" s="484"/>
      <c r="AM10" s="484"/>
    </row>
    <row r="11" spans="1:39" ht="14.5" x14ac:dyDescent="0.35">
      <c r="A11" s="484"/>
      <c r="B11" s="1622" t="s">
        <v>322</v>
      </c>
      <c r="C11" s="1"/>
      <c r="D11" s="1735" t="s">
        <v>1156</v>
      </c>
      <c r="E11" s="1736"/>
      <c r="F11" s="1736"/>
      <c r="G11" s="1736"/>
      <c r="H11" s="1736"/>
      <c r="I11" s="1736"/>
      <c r="J11" s="1736"/>
      <c r="K11" s="1737"/>
      <c r="L11" s="1"/>
      <c r="M11" s="1729" t="s">
        <v>323</v>
      </c>
      <c r="N11" s="1730"/>
      <c r="O11" s="1730"/>
      <c r="P11" s="1"/>
      <c r="Q11" s="1088"/>
      <c r="R11" s="1088"/>
      <c r="S11" s="1088"/>
      <c r="T11" s="484"/>
      <c r="U11" s="484"/>
      <c r="V11" s="484"/>
      <c r="W11" s="484"/>
      <c r="X11" s="484"/>
      <c r="Y11" s="484"/>
      <c r="Z11" s="484"/>
      <c r="AA11" s="484"/>
      <c r="AB11" s="484"/>
      <c r="AC11" s="484"/>
      <c r="AD11" s="484"/>
      <c r="AE11" s="484"/>
      <c r="AF11" s="484"/>
      <c r="AG11" s="484"/>
      <c r="AH11" s="484"/>
      <c r="AI11" s="484"/>
      <c r="AJ11" s="484"/>
      <c r="AK11" s="484"/>
      <c r="AL11" s="484"/>
      <c r="AM11" s="484"/>
    </row>
    <row r="12" spans="1:39" ht="16.5" customHeight="1" x14ac:dyDescent="0.35">
      <c r="A12" s="484"/>
      <c r="B12" s="1708"/>
      <c r="C12" s="1"/>
      <c r="D12" s="1089"/>
      <c r="E12" s="1097"/>
      <c r="F12" s="1097"/>
      <c r="G12" s="1097"/>
      <c r="H12" s="1097"/>
      <c r="I12" s="1090"/>
      <c r="J12" s="1097"/>
      <c r="K12" s="1098"/>
      <c r="L12" s="1"/>
      <c r="M12" s="1731"/>
      <c r="N12" s="1731"/>
      <c r="O12" s="1731"/>
      <c r="P12" s="1"/>
      <c r="Q12" s="1088"/>
      <c r="R12" s="1088"/>
      <c r="S12" s="1088"/>
      <c r="T12" s="484"/>
      <c r="U12" s="484"/>
      <c r="V12" s="484"/>
      <c r="W12" s="484"/>
      <c r="X12" s="484"/>
      <c r="Y12" s="484"/>
      <c r="Z12" s="484"/>
      <c r="AA12" s="484"/>
      <c r="AB12" s="484"/>
      <c r="AC12" s="484"/>
      <c r="AD12" s="484"/>
      <c r="AE12" s="484"/>
      <c r="AF12" s="484"/>
      <c r="AG12" s="484"/>
      <c r="AH12" s="484"/>
      <c r="AI12" s="484"/>
      <c r="AJ12" s="484"/>
      <c r="AK12" s="484"/>
      <c r="AL12" s="484"/>
      <c r="AM12" s="484"/>
    </row>
    <row r="13" spans="1:39" ht="14.5" x14ac:dyDescent="0.35">
      <c r="A13" s="484"/>
      <c r="B13" s="1708"/>
      <c r="C13" s="1"/>
      <c r="D13" s="1091"/>
      <c r="E13" s="1099" t="s">
        <v>1155</v>
      </c>
      <c r="F13" s="1100" t="s">
        <v>1154</v>
      </c>
      <c r="G13" s="1100" t="s">
        <v>254</v>
      </c>
      <c r="H13" s="1101"/>
      <c r="I13" s="776"/>
      <c r="J13" s="1101"/>
      <c r="K13" s="1102"/>
      <c r="L13" s="1"/>
      <c r="M13" s="1103" t="s">
        <v>324</v>
      </c>
      <c r="N13" s="1088">
        <v>2.16</v>
      </c>
      <c r="O13" s="1088" t="s">
        <v>325</v>
      </c>
      <c r="P13" s="1"/>
      <c r="Q13" s="1088"/>
      <c r="R13" s="1088"/>
      <c r="S13" s="1088"/>
      <c r="T13" s="484"/>
      <c r="U13" s="484"/>
      <c r="V13" s="484"/>
      <c r="W13" s="484"/>
      <c r="X13" s="484"/>
      <c r="Y13" s="484"/>
      <c r="Z13" s="484"/>
      <c r="AA13" s="484"/>
      <c r="AB13" s="484"/>
      <c r="AC13" s="484"/>
      <c r="AD13" s="484"/>
      <c r="AE13" s="484"/>
      <c r="AF13" s="484"/>
      <c r="AG13" s="484"/>
      <c r="AH13" s="484"/>
      <c r="AI13" s="484"/>
      <c r="AJ13" s="484"/>
      <c r="AK13" s="484"/>
      <c r="AL13" s="484"/>
      <c r="AM13" s="484"/>
    </row>
    <row r="14" spans="1:39" ht="14.5" x14ac:dyDescent="0.35">
      <c r="A14" s="484"/>
      <c r="B14" s="1708"/>
      <c r="C14" s="1"/>
      <c r="D14" s="1091"/>
      <c r="E14" s="776" t="s">
        <v>326</v>
      </c>
      <c r="F14" s="1104">
        <f>IFERROR(N13*(1-Percent_Reduction_Energy_wRenewables_Measured)*Area_Building,"")</f>
        <v>0</v>
      </c>
      <c r="G14" s="1104">
        <f>N13*Area_Building</f>
        <v>0</v>
      </c>
      <c r="H14" s="1092" t="s">
        <v>948</v>
      </c>
      <c r="I14" s="776" t="s">
        <v>327</v>
      </c>
      <c r="J14" s="1105" t="s">
        <v>1153</v>
      </c>
      <c r="K14" s="778"/>
      <c r="L14" s="1"/>
      <c r="M14" s="1103" t="s">
        <v>328</v>
      </c>
      <c r="N14" s="1088">
        <v>1.45</v>
      </c>
      <c r="O14" s="1088" t="s">
        <v>325</v>
      </c>
      <c r="P14" s="1"/>
      <c r="Q14" s="1088"/>
      <c r="R14" s="1088"/>
      <c r="S14" s="1088"/>
      <c r="T14" s="484"/>
      <c r="U14" s="484"/>
      <c r="V14" s="484"/>
      <c r="W14" s="484"/>
      <c r="X14" s="484"/>
      <c r="Y14" s="484"/>
      <c r="Z14" s="484"/>
      <c r="AA14" s="484"/>
      <c r="AB14" s="484"/>
      <c r="AC14" s="484"/>
      <c r="AD14" s="484"/>
      <c r="AE14" s="484"/>
      <c r="AF14" s="484"/>
      <c r="AG14" s="484"/>
      <c r="AH14" s="484"/>
      <c r="AI14" s="484"/>
      <c r="AJ14" s="484"/>
      <c r="AK14" s="484"/>
      <c r="AL14" s="484"/>
      <c r="AM14" s="484"/>
    </row>
    <row r="15" spans="1:39" ht="14.5" x14ac:dyDescent="0.35">
      <c r="A15" s="484"/>
      <c r="B15" s="1708"/>
      <c r="C15" s="1"/>
      <c r="D15" s="1091"/>
      <c r="E15" s="776" t="s">
        <v>329</v>
      </c>
      <c r="F15" s="482"/>
      <c r="G15" s="1104">
        <f>N15*Area_Building</f>
        <v>0</v>
      </c>
      <c r="H15" s="1092" t="s">
        <v>948</v>
      </c>
      <c r="I15" s="776" t="s">
        <v>327</v>
      </c>
      <c r="J15" s="10"/>
      <c r="K15" s="778"/>
      <c r="L15" s="1"/>
      <c r="M15" s="1103" t="s">
        <v>330</v>
      </c>
      <c r="N15" s="1088">
        <v>1.52</v>
      </c>
      <c r="O15" s="1088" t="s">
        <v>325</v>
      </c>
      <c r="P15" s="1"/>
      <c r="Q15" s="1088"/>
      <c r="R15" s="1088"/>
      <c r="S15" s="1088"/>
      <c r="T15" s="484"/>
      <c r="U15" s="484"/>
      <c r="V15" s="484"/>
      <c r="W15" s="484"/>
      <c r="X15" s="484"/>
      <c r="Y15" s="484"/>
      <c r="Z15" s="484"/>
      <c r="AA15" s="484"/>
      <c r="AB15" s="484"/>
      <c r="AC15" s="484"/>
      <c r="AD15" s="484"/>
      <c r="AE15" s="484"/>
      <c r="AF15" s="484"/>
      <c r="AG15" s="484"/>
      <c r="AH15" s="484"/>
      <c r="AI15" s="484"/>
      <c r="AJ15" s="484"/>
      <c r="AK15" s="484"/>
      <c r="AL15" s="484"/>
      <c r="AM15" s="484"/>
    </row>
    <row r="16" spans="1:39" ht="14.5" x14ac:dyDescent="0.35">
      <c r="A16" s="484"/>
      <c r="B16" s="1708"/>
      <c r="C16" s="1"/>
      <c r="D16" s="1091"/>
      <c r="E16" s="776" t="s">
        <v>334</v>
      </c>
      <c r="F16" s="482"/>
      <c r="G16" s="1104">
        <f>N18*Area_Building</f>
        <v>0</v>
      </c>
      <c r="H16" s="1092" t="s">
        <v>948</v>
      </c>
      <c r="I16" s="776" t="s">
        <v>327</v>
      </c>
      <c r="J16" s="10"/>
      <c r="K16" s="778"/>
      <c r="L16" s="1"/>
      <c r="M16" s="1103" t="s">
        <v>331</v>
      </c>
      <c r="N16" s="1088">
        <v>0.61</v>
      </c>
      <c r="O16" s="1088" t="s">
        <v>325</v>
      </c>
      <c r="P16" s="1"/>
      <c r="Q16" s="1088"/>
      <c r="R16" s="1088"/>
      <c r="S16" s="1088"/>
      <c r="T16" s="484"/>
      <c r="U16" s="484"/>
      <c r="V16" s="484"/>
      <c r="W16" s="484"/>
      <c r="X16" s="484"/>
      <c r="Y16" s="484"/>
      <c r="Z16" s="484"/>
      <c r="AA16" s="484"/>
      <c r="AB16" s="484"/>
      <c r="AC16" s="484"/>
      <c r="AD16" s="484"/>
      <c r="AE16" s="484"/>
      <c r="AF16" s="484"/>
      <c r="AG16" s="484"/>
      <c r="AH16" s="484"/>
      <c r="AI16" s="484"/>
      <c r="AJ16" s="484"/>
      <c r="AK16" s="484"/>
      <c r="AL16" s="484"/>
      <c r="AM16" s="484"/>
    </row>
    <row r="17" spans="1:44" ht="14.5" x14ac:dyDescent="0.35">
      <c r="A17" s="484"/>
      <c r="B17" s="1708"/>
      <c r="C17" s="1"/>
      <c r="D17" s="1091"/>
      <c r="E17" s="1484" t="s">
        <v>332</v>
      </c>
      <c r="F17" s="482"/>
      <c r="G17" s="482"/>
      <c r="H17" s="1092" t="s">
        <v>948</v>
      </c>
      <c r="I17" s="776" t="s">
        <v>327</v>
      </c>
      <c r="J17" s="10"/>
      <c r="K17" s="778"/>
      <c r="L17" s="1"/>
      <c r="M17" s="1103" t="s">
        <v>333</v>
      </c>
      <c r="N17" s="1088">
        <v>0.25</v>
      </c>
      <c r="O17" s="1088" t="s">
        <v>325</v>
      </c>
      <c r="P17" s="1"/>
      <c r="Q17" s="1088"/>
      <c r="R17" s="1088"/>
      <c r="S17" s="1088"/>
      <c r="T17" s="484"/>
      <c r="U17" s="484"/>
      <c r="V17" s="484"/>
      <c r="W17" s="484"/>
      <c r="X17" s="484"/>
      <c r="Y17" s="484"/>
      <c r="Z17" s="484"/>
      <c r="AA17" s="484"/>
      <c r="AB17" s="484"/>
      <c r="AC17" s="484"/>
      <c r="AD17" s="484"/>
      <c r="AE17" s="484"/>
      <c r="AF17" s="484"/>
      <c r="AG17" s="484"/>
      <c r="AH17" s="484"/>
      <c r="AI17" s="484"/>
      <c r="AJ17" s="484"/>
      <c r="AK17" s="484"/>
      <c r="AL17" s="484"/>
      <c r="AM17" s="484"/>
    </row>
    <row r="18" spans="1:44" thickBot="1" x14ac:dyDescent="0.4">
      <c r="A18" s="484"/>
      <c r="B18" s="1708"/>
      <c r="C18" s="1"/>
      <c r="D18" s="1091"/>
      <c r="E18" s="1484" t="s">
        <v>332</v>
      </c>
      <c r="F18" s="482"/>
      <c r="G18" s="482"/>
      <c r="H18" s="1106" t="s">
        <v>948</v>
      </c>
      <c r="I18" s="776" t="s">
        <v>327</v>
      </c>
      <c r="J18" s="10"/>
      <c r="K18" s="778"/>
      <c r="L18" s="1"/>
      <c r="M18" s="1103" t="s">
        <v>334</v>
      </c>
      <c r="N18" s="1107">
        <v>2</v>
      </c>
      <c r="O18" s="1107" t="s">
        <v>325</v>
      </c>
      <c r="P18" s="1"/>
      <c r="Q18" s="1088"/>
      <c r="R18" s="1088"/>
      <c r="S18" s="1088"/>
      <c r="T18" s="484"/>
      <c r="U18" s="484"/>
      <c r="V18" s="484"/>
      <c r="W18" s="484"/>
      <c r="X18" s="484"/>
      <c r="Y18" s="484"/>
      <c r="Z18" s="484"/>
      <c r="AA18" s="484"/>
      <c r="AB18" s="484"/>
      <c r="AC18" s="484"/>
      <c r="AD18" s="484"/>
      <c r="AE18" s="484"/>
      <c r="AF18" s="484"/>
      <c r="AG18" s="484"/>
      <c r="AH18" s="484"/>
      <c r="AI18" s="484"/>
      <c r="AJ18" s="484"/>
      <c r="AK18" s="484"/>
      <c r="AL18" s="484"/>
      <c r="AM18" s="484"/>
    </row>
    <row r="19" spans="1:44" thickBot="1" x14ac:dyDescent="0.4">
      <c r="A19" s="484"/>
      <c r="B19" s="1708"/>
      <c r="C19" s="1"/>
      <c r="D19" s="1091"/>
      <c r="E19" s="797" t="s">
        <v>250</v>
      </c>
      <c r="F19" s="1108">
        <f>SUM(F14:F18)</f>
        <v>0</v>
      </c>
      <c r="G19" s="1108">
        <f>SUM(G14:G18)</f>
        <v>0</v>
      </c>
      <c r="H19" s="1092" t="s">
        <v>948</v>
      </c>
      <c r="I19" s="776"/>
      <c r="J19" s="777"/>
      <c r="K19" s="778"/>
      <c r="L19" s="1"/>
      <c r="M19" s="1109" t="s">
        <v>250</v>
      </c>
      <c r="N19" s="1110">
        <f>SUM(N13:N18)</f>
        <v>7.9900000000000011</v>
      </c>
      <c r="O19" s="1110" t="s">
        <v>325</v>
      </c>
      <c r="P19" s="1"/>
      <c r="Q19" s="1088"/>
      <c r="R19" s="1088"/>
      <c r="S19" s="1088"/>
      <c r="T19" s="484"/>
      <c r="U19" s="484"/>
      <c r="V19" s="484"/>
      <c r="W19" s="484"/>
      <c r="X19" s="484"/>
      <c r="Y19" s="484"/>
      <c r="Z19" s="484"/>
      <c r="AA19" s="484"/>
      <c r="AB19" s="484"/>
      <c r="AC19" s="484"/>
      <c r="AD19" s="484"/>
      <c r="AE19" s="484"/>
      <c r="AF19" s="484"/>
      <c r="AG19" s="484"/>
      <c r="AH19" s="484"/>
      <c r="AI19" s="484"/>
      <c r="AJ19" s="484"/>
      <c r="AK19" s="484"/>
      <c r="AL19" s="484"/>
      <c r="AM19" s="484"/>
    </row>
    <row r="20" spans="1:44" ht="15.75" customHeight="1" x14ac:dyDescent="0.35">
      <c r="A20" s="484"/>
      <c r="B20" s="1708"/>
      <c r="C20" s="1"/>
      <c r="D20" s="1094"/>
      <c r="E20" s="782"/>
      <c r="F20" s="782"/>
      <c r="G20" s="782"/>
      <c r="H20" s="782"/>
      <c r="I20" s="1095"/>
      <c r="J20" s="782"/>
      <c r="K20" s="783"/>
      <c r="L20" s="1"/>
      <c r="M20" s="1088"/>
      <c r="N20" s="1088"/>
      <c r="O20" s="1088"/>
      <c r="P20" s="1"/>
      <c r="Q20" s="1088"/>
      <c r="R20" s="1088"/>
      <c r="S20" s="1088"/>
      <c r="T20" s="484"/>
      <c r="U20" s="484"/>
      <c r="V20" s="484"/>
      <c r="W20" s="484"/>
      <c r="X20" s="484"/>
      <c r="Y20" s="484"/>
      <c r="Z20" s="484"/>
      <c r="AA20" s="484"/>
      <c r="AB20" s="484"/>
      <c r="AC20" s="484"/>
      <c r="AD20" s="484"/>
      <c r="AE20" s="484"/>
      <c r="AF20" s="484"/>
      <c r="AG20" s="484"/>
      <c r="AH20" s="484"/>
      <c r="AI20" s="484"/>
      <c r="AJ20" s="484"/>
      <c r="AK20" s="484"/>
      <c r="AL20" s="484"/>
      <c r="AM20" s="484"/>
    </row>
    <row r="21" spans="1:44" ht="15.75" customHeight="1" x14ac:dyDescent="0.35">
      <c r="A21" s="484"/>
      <c r="B21" s="1"/>
      <c r="C21" s="1"/>
      <c r="D21" s="1"/>
      <c r="E21" s="1"/>
      <c r="F21" s="1"/>
      <c r="G21" s="1"/>
      <c r="H21" s="1"/>
      <c r="I21" s="1096"/>
      <c r="J21" s="1"/>
      <c r="K21" s="1"/>
      <c r="L21" s="1"/>
      <c r="M21" s="1"/>
      <c r="N21" s="1"/>
      <c r="O21" s="1"/>
      <c r="P21" s="1"/>
      <c r="Q21" s="1"/>
      <c r="R21" s="1"/>
      <c r="S21" s="1"/>
      <c r="T21" s="484"/>
      <c r="U21" s="484"/>
      <c r="V21" s="484"/>
      <c r="W21" s="484"/>
      <c r="X21" s="484"/>
      <c r="Y21" s="484"/>
      <c r="Z21" s="484"/>
      <c r="AA21" s="484"/>
      <c r="AB21" s="484"/>
      <c r="AC21" s="484"/>
      <c r="AD21" s="484"/>
      <c r="AE21" s="484"/>
      <c r="AF21" s="484"/>
      <c r="AG21" s="484"/>
      <c r="AH21" s="484"/>
      <c r="AI21" s="484"/>
      <c r="AJ21" s="484"/>
      <c r="AK21" s="484"/>
      <c r="AL21" s="484"/>
      <c r="AM21" s="484"/>
    </row>
    <row r="22" spans="1:44" ht="15.75" customHeight="1" x14ac:dyDescent="0.35">
      <c r="A22" s="484"/>
      <c r="B22" s="1622" t="s">
        <v>335</v>
      </c>
      <c r="C22" s="1"/>
      <c r="D22" s="1735" t="s">
        <v>699</v>
      </c>
      <c r="E22" s="1736"/>
      <c r="F22" s="1736"/>
      <c r="G22" s="1736"/>
      <c r="H22" s="1736"/>
      <c r="I22" s="1736"/>
      <c r="J22" s="1736"/>
      <c r="K22" s="1737"/>
      <c r="L22" s="1"/>
      <c r="M22" s="1088"/>
      <c r="N22" s="1088"/>
      <c r="O22" s="1088"/>
      <c r="P22" s="1"/>
      <c r="Q22" s="1728" t="s">
        <v>336</v>
      </c>
      <c r="R22" s="1728"/>
      <c r="S22" s="1728"/>
      <c r="T22" s="484"/>
      <c r="U22" s="484"/>
      <c r="V22" s="484"/>
      <c r="W22" s="484"/>
      <c r="X22" s="484"/>
      <c r="Y22" s="484"/>
      <c r="Z22" s="484"/>
      <c r="AA22" s="484"/>
      <c r="AB22" s="484"/>
      <c r="AC22" s="484"/>
      <c r="AD22" s="484"/>
      <c r="AE22" s="484"/>
      <c r="AF22" s="484"/>
      <c r="AG22" s="484"/>
      <c r="AH22" s="484"/>
      <c r="AI22" s="484"/>
      <c r="AJ22" s="484"/>
      <c r="AK22" s="484"/>
      <c r="AL22" s="484"/>
      <c r="AM22" s="484"/>
    </row>
    <row r="23" spans="1:44" ht="15.75" customHeight="1" x14ac:dyDescent="0.35">
      <c r="A23" s="484"/>
      <c r="B23" s="1708"/>
      <c r="C23" s="1"/>
      <c r="D23" s="1089"/>
      <c r="E23" s="1097"/>
      <c r="F23" s="1097"/>
      <c r="G23" s="1097"/>
      <c r="H23" s="1097"/>
      <c r="I23" s="1090"/>
      <c r="J23" s="1097"/>
      <c r="K23" s="1098"/>
      <c r="L23" s="1"/>
      <c r="M23" s="1088"/>
      <c r="N23" s="1088"/>
      <c r="O23" s="1088"/>
      <c r="P23" s="1"/>
      <c r="Q23" s="1728"/>
      <c r="R23" s="1728"/>
      <c r="S23" s="1728"/>
      <c r="T23" s="484"/>
      <c r="U23" s="484"/>
      <c r="V23" s="484"/>
      <c r="W23" s="484"/>
      <c r="X23" s="484"/>
      <c r="Y23" s="484"/>
      <c r="Z23" s="484"/>
      <c r="AA23" s="484"/>
      <c r="AB23" s="484"/>
      <c r="AC23" s="484"/>
      <c r="AD23" s="484"/>
      <c r="AE23" s="484"/>
      <c r="AF23" s="484"/>
      <c r="AG23" s="484"/>
      <c r="AH23" s="484"/>
      <c r="AI23" s="484"/>
      <c r="AJ23" s="484"/>
      <c r="AK23" s="484"/>
      <c r="AL23" s="484"/>
      <c r="AM23" s="484"/>
    </row>
    <row r="24" spans="1:44" ht="15.75" customHeight="1" x14ac:dyDescent="0.35">
      <c r="A24" s="484"/>
      <c r="B24" s="1708"/>
      <c r="C24" s="1"/>
      <c r="D24" s="1091"/>
      <c r="E24" s="776" t="s">
        <v>337</v>
      </c>
      <c r="F24" s="1738"/>
      <c r="G24" s="1738"/>
      <c r="H24" s="777"/>
      <c r="I24" s="776" t="s">
        <v>320</v>
      </c>
      <c r="J24" s="10"/>
      <c r="K24" s="778"/>
      <c r="L24" s="1"/>
      <c r="M24" s="1088"/>
      <c r="N24" s="1088"/>
      <c r="O24" s="1088"/>
      <c r="P24" s="1"/>
      <c r="Q24" s="360"/>
      <c r="R24" s="360"/>
      <c r="S24" s="360"/>
      <c r="T24" s="484"/>
      <c r="U24" s="484"/>
      <c r="V24" s="484"/>
      <c r="W24" s="484"/>
      <c r="X24" s="484"/>
      <c r="Y24" s="484"/>
      <c r="Z24" s="484"/>
      <c r="AA24" s="484"/>
      <c r="AB24" s="484"/>
      <c r="AC24" s="484"/>
      <c r="AD24" s="484"/>
      <c r="AE24" s="484"/>
      <c r="AF24" s="484"/>
      <c r="AG24" s="484"/>
      <c r="AH24" s="484"/>
      <c r="AI24" s="484"/>
      <c r="AJ24" s="484"/>
      <c r="AK24" s="484"/>
      <c r="AL24" s="484"/>
      <c r="AM24" s="484"/>
    </row>
    <row r="25" spans="1:44" ht="15.75" customHeight="1" thickBot="1" x14ac:dyDescent="0.4">
      <c r="A25" s="484"/>
      <c r="B25" s="1708"/>
      <c r="C25" s="1"/>
      <c r="D25" s="1091"/>
      <c r="E25" s="776" t="s">
        <v>338</v>
      </c>
      <c r="F25" s="1739"/>
      <c r="G25" s="1739"/>
      <c r="H25" s="1101"/>
      <c r="I25" s="776" t="s">
        <v>327</v>
      </c>
      <c r="J25" s="10"/>
      <c r="K25" s="1102"/>
      <c r="L25" s="1"/>
      <c r="M25" s="1088"/>
      <c r="N25" s="1088"/>
      <c r="O25" s="1088"/>
      <c r="P25" s="1"/>
      <c r="Q25" s="1088"/>
      <c r="R25" s="1088"/>
      <c r="S25" s="1088"/>
      <c r="T25" s="484"/>
      <c r="U25" s="484"/>
      <c r="V25" s="484"/>
      <c r="W25" s="484"/>
      <c r="X25" s="484"/>
      <c r="Y25" s="484"/>
      <c r="Z25" s="484"/>
      <c r="AA25" s="484"/>
      <c r="AB25" s="484"/>
      <c r="AC25" s="484"/>
      <c r="AD25" s="484"/>
      <c r="AE25" s="484"/>
      <c r="AF25" s="484"/>
      <c r="AG25" s="484"/>
      <c r="AH25" s="484"/>
      <c r="AI25" s="484"/>
      <c r="AJ25" s="484"/>
      <c r="AK25" s="484"/>
      <c r="AL25" s="484"/>
      <c r="AM25" s="484"/>
    </row>
    <row r="26" spans="1:44" ht="15.75" customHeight="1" thickBot="1" x14ac:dyDescent="0.4">
      <c r="A26" s="484"/>
      <c r="B26" s="1708"/>
      <c r="C26" s="1"/>
      <c r="D26" s="1091"/>
      <c r="E26" s="797" t="s">
        <v>339</v>
      </c>
      <c r="F26" s="1740">
        <f>IFERROR((25:25-24:24)/24:24,0)</f>
        <v>0</v>
      </c>
      <c r="G26" s="1741"/>
      <c r="H26" s="1101"/>
      <c r="I26" s="776"/>
      <c r="J26" s="1101"/>
      <c r="K26" s="1102"/>
      <c r="L26" s="1"/>
      <c r="M26" s="1088"/>
      <c r="N26" s="1088"/>
      <c r="O26" s="1088"/>
      <c r="P26" s="1"/>
      <c r="Q26" s="1088"/>
      <c r="R26" s="1088"/>
      <c r="S26" s="1088"/>
      <c r="T26" s="484"/>
      <c r="U26" s="484"/>
      <c r="V26" s="484"/>
      <c r="W26" s="484"/>
      <c r="X26" s="484"/>
      <c r="Y26" s="484"/>
      <c r="Z26" s="484"/>
      <c r="AA26" s="484"/>
      <c r="AB26" s="484"/>
      <c r="AC26" s="484"/>
      <c r="AD26" s="484"/>
      <c r="AE26" s="484"/>
      <c r="AF26" s="484"/>
      <c r="AG26" s="484"/>
      <c r="AH26" s="484"/>
      <c r="AI26" s="484"/>
      <c r="AJ26" s="484"/>
      <c r="AK26" s="484"/>
      <c r="AL26" s="484"/>
      <c r="AM26" s="484"/>
    </row>
    <row r="27" spans="1:44" ht="15.75" customHeight="1" x14ac:dyDescent="0.35">
      <c r="A27" s="484"/>
      <c r="B27" s="1708"/>
      <c r="C27" s="1"/>
      <c r="D27" s="1094"/>
      <c r="E27" s="780"/>
      <c r="F27" s="780"/>
      <c r="G27" s="780"/>
      <c r="H27" s="780"/>
      <c r="I27" s="1095"/>
      <c r="J27" s="780"/>
      <c r="K27" s="1111"/>
      <c r="L27" s="1"/>
      <c r="M27" s="1088"/>
      <c r="N27" s="1088"/>
      <c r="O27" s="1088"/>
      <c r="P27" s="1"/>
      <c r="Q27" s="1088"/>
      <c r="R27" s="1088"/>
      <c r="S27" s="1088"/>
      <c r="T27" s="484"/>
      <c r="U27" s="484"/>
      <c r="V27" s="484"/>
      <c r="W27" s="484"/>
      <c r="X27" s="484"/>
      <c r="Y27" s="484"/>
      <c r="Z27" s="484"/>
      <c r="AA27" s="484"/>
      <c r="AB27" s="484"/>
      <c r="AC27" s="484"/>
      <c r="AD27" s="484"/>
      <c r="AE27" s="484"/>
      <c r="AF27" s="484"/>
      <c r="AG27" s="484"/>
      <c r="AH27" s="484"/>
      <c r="AI27" s="484"/>
      <c r="AJ27" s="484"/>
      <c r="AK27" s="484"/>
      <c r="AL27" s="484"/>
      <c r="AM27" s="484"/>
    </row>
    <row r="28" spans="1:44" ht="15.75" customHeight="1" x14ac:dyDescent="0.35">
      <c r="A28" s="484"/>
      <c r="B28" s="484"/>
      <c r="C28" s="484"/>
      <c r="D28" s="484"/>
      <c r="E28" s="484"/>
      <c r="F28" s="484"/>
      <c r="G28" s="484"/>
      <c r="H28" s="484"/>
      <c r="I28" s="1084"/>
      <c r="J28" s="484"/>
      <c r="K28" s="484"/>
      <c r="L28" s="484"/>
      <c r="M28" s="484"/>
      <c r="N28" s="484"/>
      <c r="O28" s="484"/>
      <c r="P28" s="484"/>
      <c r="Q28" s="484"/>
      <c r="R28" s="484"/>
      <c r="S28" s="484"/>
      <c r="T28" s="484"/>
      <c r="U28" s="484"/>
      <c r="V28" s="484"/>
      <c r="W28" s="484"/>
      <c r="X28" s="484"/>
      <c r="Y28" s="484"/>
      <c r="Z28" s="484"/>
      <c r="AA28" s="484"/>
      <c r="AB28" s="484"/>
      <c r="AC28" s="484"/>
      <c r="AD28" s="484"/>
      <c r="AE28" s="484"/>
      <c r="AF28" s="484"/>
      <c r="AG28" s="484"/>
      <c r="AH28" s="484"/>
      <c r="AI28" s="484"/>
      <c r="AJ28" s="484"/>
      <c r="AK28" s="484"/>
      <c r="AL28" s="484"/>
      <c r="AM28" s="484"/>
    </row>
    <row r="29" spans="1:44" ht="15" customHeight="1" x14ac:dyDescent="0.35">
      <c r="A29" s="484"/>
      <c r="B29" s="1622" t="s">
        <v>976</v>
      </c>
      <c r="C29" s="484"/>
      <c r="D29" s="1656" t="s">
        <v>700</v>
      </c>
      <c r="E29" s="1657"/>
      <c r="F29" s="1657"/>
      <c r="G29" s="1657"/>
      <c r="H29" s="1657"/>
      <c r="I29" s="1657"/>
      <c r="J29" s="1657"/>
      <c r="K29" s="1658"/>
      <c r="L29" s="484"/>
      <c r="M29" s="1070"/>
      <c r="N29" s="1070"/>
      <c r="O29" s="1088"/>
      <c r="P29" s="484"/>
      <c r="Q29" s="1070"/>
      <c r="R29" s="1070"/>
      <c r="S29" s="1070"/>
      <c r="T29" s="484"/>
      <c r="U29" s="484"/>
      <c r="V29" s="484"/>
      <c r="W29" s="484"/>
      <c r="X29" s="484"/>
      <c r="Y29" s="484"/>
      <c r="Z29" s="484"/>
      <c r="AA29" s="484"/>
      <c r="AB29" s="484"/>
      <c r="AC29" s="484"/>
      <c r="AD29" s="484"/>
      <c r="AE29" s="484"/>
      <c r="AF29" s="484"/>
      <c r="AG29" s="484"/>
      <c r="AH29" s="484"/>
      <c r="AI29" s="484"/>
      <c r="AJ29" s="484"/>
      <c r="AK29" s="484"/>
      <c r="AL29" s="484"/>
      <c r="AM29" s="484"/>
      <c r="AN29" s="484"/>
      <c r="AO29" s="484"/>
      <c r="AP29" s="484"/>
      <c r="AQ29" s="484"/>
      <c r="AR29" s="484"/>
    </row>
    <row r="30" spans="1:44" ht="14.5" x14ac:dyDescent="0.35">
      <c r="A30" s="484"/>
      <c r="B30" s="1708"/>
      <c r="C30" s="484"/>
      <c r="D30" s="771"/>
      <c r="E30" s="772"/>
      <c r="F30" s="772"/>
      <c r="G30" s="772"/>
      <c r="H30" s="772"/>
      <c r="I30" s="1090"/>
      <c r="J30" s="772"/>
      <c r="K30" s="774"/>
      <c r="L30" s="484"/>
      <c r="M30" s="1070"/>
      <c r="N30" s="1070"/>
      <c r="O30" s="1088"/>
      <c r="P30" s="484"/>
      <c r="Q30" s="1070"/>
      <c r="R30" s="1070"/>
      <c r="S30" s="1070"/>
      <c r="T30" s="484"/>
      <c r="U30" s="484"/>
      <c r="V30" s="484"/>
      <c r="W30" s="484"/>
      <c r="X30" s="484"/>
      <c r="Y30" s="484"/>
      <c r="Z30" s="484"/>
      <c r="AA30" s="484"/>
      <c r="AB30" s="484"/>
      <c r="AC30" s="484"/>
      <c r="AD30" s="484"/>
      <c r="AE30" s="484"/>
      <c r="AF30" s="484"/>
      <c r="AG30" s="484"/>
      <c r="AH30" s="484"/>
      <c r="AI30" s="484"/>
      <c r="AJ30" s="484"/>
      <c r="AK30" s="484"/>
      <c r="AL30" s="484"/>
      <c r="AM30" s="484"/>
      <c r="AN30" s="484"/>
      <c r="AO30" s="484"/>
      <c r="AP30" s="484"/>
      <c r="AQ30" s="484"/>
      <c r="AR30" s="484"/>
    </row>
    <row r="31" spans="1:44" ht="14.5" x14ac:dyDescent="0.35">
      <c r="A31" s="484"/>
      <c r="B31" s="1708"/>
      <c r="C31" s="484"/>
      <c r="D31" s="786"/>
      <c r="E31" s="1647"/>
      <c r="F31" s="1648"/>
      <c r="G31" s="1648"/>
      <c r="H31" s="1648"/>
      <c r="I31" s="1648"/>
      <c r="J31" s="1649"/>
      <c r="K31" s="885"/>
      <c r="L31" s="484"/>
      <c r="M31" s="1070"/>
      <c r="N31" s="1070"/>
      <c r="O31" s="1088"/>
      <c r="P31" s="484"/>
      <c r="Q31" s="1070"/>
      <c r="R31" s="1070"/>
      <c r="S31" s="1070"/>
      <c r="T31" s="484"/>
      <c r="U31" s="484"/>
      <c r="V31" s="484"/>
      <c r="W31" s="484"/>
      <c r="X31" s="484"/>
      <c r="Y31" s="484"/>
      <c r="Z31" s="484"/>
      <c r="AA31" s="484"/>
      <c r="AB31" s="484"/>
      <c r="AC31" s="484"/>
      <c r="AD31" s="484"/>
      <c r="AE31" s="484"/>
      <c r="AF31" s="484"/>
      <c r="AG31" s="484"/>
      <c r="AH31" s="484"/>
      <c r="AI31" s="484"/>
      <c r="AJ31" s="484"/>
      <c r="AK31" s="484"/>
      <c r="AL31" s="484"/>
      <c r="AM31" s="484"/>
      <c r="AN31" s="484"/>
      <c r="AO31" s="484"/>
      <c r="AP31" s="484"/>
      <c r="AQ31" s="484"/>
      <c r="AR31" s="484"/>
    </row>
    <row r="32" spans="1:44" ht="14.5" x14ac:dyDescent="0.35">
      <c r="A32" s="484"/>
      <c r="B32" s="1708"/>
      <c r="C32" s="484"/>
      <c r="D32" s="786"/>
      <c r="E32" s="1650"/>
      <c r="F32" s="1651"/>
      <c r="G32" s="1651"/>
      <c r="H32" s="1651"/>
      <c r="I32" s="1651"/>
      <c r="J32" s="1652"/>
      <c r="K32" s="885"/>
      <c r="L32" s="484"/>
      <c r="M32" s="1070"/>
      <c r="N32" s="1070"/>
      <c r="O32" s="1088"/>
      <c r="P32" s="484"/>
      <c r="Q32" s="1070"/>
      <c r="R32" s="1070"/>
      <c r="S32" s="1070"/>
      <c r="T32" s="484"/>
      <c r="U32" s="484"/>
      <c r="V32" s="484"/>
      <c r="W32" s="484"/>
      <c r="X32" s="484"/>
      <c r="Y32" s="484"/>
      <c r="Z32" s="484"/>
      <c r="AA32" s="484"/>
      <c r="AB32" s="484"/>
      <c r="AC32" s="484"/>
      <c r="AD32" s="484"/>
      <c r="AE32" s="484"/>
      <c r="AF32" s="484"/>
      <c r="AG32" s="484"/>
      <c r="AH32" s="484"/>
      <c r="AI32" s="484"/>
      <c r="AJ32" s="484"/>
      <c r="AK32" s="484"/>
      <c r="AL32" s="484"/>
      <c r="AM32" s="484"/>
      <c r="AN32" s="484"/>
      <c r="AO32" s="484"/>
      <c r="AP32" s="484"/>
      <c r="AQ32" s="484"/>
      <c r="AR32" s="484"/>
    </row>
    <row r="33" spans="1:44" ht="14.5" x14ac:dyDescent="0.35">
      <c r="A33" s="484"/>
      <c r="B33" s="1708"/>
      <c r="C33" s="484"/>
      <c r="D33" s="786"/>
      <c r="E33" s="1650"/>
      <c r="F33" s="1651"/>
      <c r="G33" s="1651"/>
      <c r="H33" s="1651"/>
      <c r="I33" s="1651"/>
      <c r="J33" s="1652"/>
      <c r="K33" s="885"/>
      <c r="L33" s="484"/>
      <c r="M33" s="1070"/>
      <c r="N33" s="1070"/>
      <c r="O33" s="1088"/>
      <c r="P33" s="484"/>
      <c r="Q33" s="1070"/>
      <c r="R33" s="1070"/>
      <c r="S33" s="1070"/>
      <c r="T33" s="484"/>
      <c r="U33" s="484"/>
      <c r="V33" s="484"/>
      <c r="W33" s="484"/>
      <c r="X33" s="484"/>
      <c r="Y33" s="484"/>
      <c r="Z33" s="484"/>
      <c r="AA33" s="484"/>
      <c r="AB33" s="484"/>
      <c r="AC33" s="484"/>
      <c r="AD33" s="484"/>
      <c r="AE33" s="484"/>
      <c r="AF33" s="484"/>
      <c r="AG33" s="484"/>
      <c r="AH33" s="484"/>
      <c r="AI33" s="484"/>
      <c r="AJ33" s="484"/>
      <c r="AK33" s="484"/>
      <c r="AL33" s="484"/>
      <c r="AM33" s="484"/>
      <c r="AN33" s="484"/>
      <c r="AO33" s="484"/>
      <c r="AP33" s="484"/>
      <c r="AQ33" s="484"/>
      <c r="AR33" s="484"/>
    </row>
    <row r="34" spans="1:44" ht="14.5" x14ac:dyDescent="0.35">
      <c r="A34" s="484"/>
      <c r="B34" s="1708"/>
      <c r="C34" s="484"/>
      <c r="D34" s="786"/>
      <c r="E34" s="1650"/>
      <c r="F34" s="1651"/>
      <c r="G34" s="1651"/>
      <c r="H34" s="1651"/>
      <c r="I34" s="1651"/>
      <c r="J34" s="1652"/>
      <c r="K34" s="885"/>
      <c r="L34" s="484"/>
      <c r="M34" s="1070"/>
      <c r="N34" s="1070"/>
      <c r="O34" s="1088"/>
      <c r="P34" s="484"/>
      <c r="Q34" s="1070"/>
      <c r="R34" s="1070"/>
      <c r="S34" s="1070"/>
      <c r="T34" s="484"/>
      <c r="U34" s="484"/>
      <c r="V34" s="484"/>
      <c r="W34" s="484"/>
      <c r="X34" s="484"/>
      <c r="Y34" s="484"/>
      <c r="Z34" s="484"/>
      <c r="AA34" s="484"/>
      <c r="AB34" s="484"/>
      <c r="AC34" s="484"/>
      <c r="AD34" s="484"/>
      <c r="AE34" s="484"/>
      <c r="AF34" s="484"/>
      <c r="AG34" s="484"/>
      <c r="AH34" s="484"/>
      <c r="AI34" s="484"/>
      <c r="AJ34" s="484"/>
      <c r="AK34" s="484"/>
      <c r="AL34" s="484"/>
      <c r="AM34" s="484"/>
      <c r="AN34" s="484"/>
      <c r="AO34" s="484"/>
      <c r="AP34" s="484"/>
      <c r="AQ34" s="484"/>
      <c r="AR34" s="484"/>
    </row>
    <row r="35" spans="1:44" ht="14.5" x14ac:dyDescent="0.35">
      <c r="A35" s="484"/>
      <c r="B35" s="1708"/>
      <c r="C35" s="484"/>
      <c r="D35" s="786"/>
      <c r="E35" s="1650"/>
      <c r="F35" s="1651"/>
      <c r="G35" s="1651"/>
      <c r="H35" s="1651"/>
      <c r="I35" s="1651"/>
      <c r="J35" s="1652"/>
      <c r="K35" s="885"/>
      <c r="L35" s="484"/>
      <c r="M35" s="1070"/>
      <c r="N35" s="1070"/>
      <c r="O35" s="1088"/>
      <c r="P35" s="484"/>
      <c r="Q35" s="1070"/>
      <c r="R35" s="1070"/>
      <c r="S35" s="1070"/>
      <c r="T35" s="484"/>
      <c r="U35" s="484"/>
      <c r="V35" s="484"/>
      <c r="W35" s="484"/>
      <c r="X35" s="484"/>
      <c r="Y35" s="484"/>
      <c r="Z35" s="484"/>
      <c r="AA35" s="484"/>
      <c r="AB35" s="484"/>
      <c r="AC35" s="484"/>
      <c r="AD35" s="484"/>
      <c r="AE35" s="484"/>
      <c r="AF35" s="484"/>
      <c r="AG35" s="484"/>
      <c r="AH35" s="484"/>
      <c r="AI35" s="484"/>
      <c r="AJ35" s="484"/>
      <c r="AK35" s="484"/>
      <c r="AL35" s="484"/>
      <c r="AM35" s="484"/>
      <c r="AN35" s="484"/>
      <c r="AO35" s="484"/>
      <c r="AP35" s="484"/>
      <c r="AQ35" s="484"/>
      <c r="AR35" s="484"/>
    </row>
    <row r="36" spans="1:44" ht="14.5" x14ac:dyDescent="0.35">
      <c r="A36" s="484"/>
      <c r="B36" s="1708"/>
      <c r="C36" s="484"/>
      <c r="D36" s="786"/>
      <c r="E36" s="1653"/>
      <c r="F36" s="1654"/>
      <c r="G36" s="1654"/>
      <c r="H36" s="1654"/>
      <c r="I36" s="1654"/>
      <c r="J36" s="1655"/>
      <c r="K36" s="885"/>
      <c r="L36" s="484"/>
      <c r="M36" s="1070"/>
      <c r="N36" s="1070"/>
      <c r="O36" s="1088"/>
      <c r="P36" s="484"/>
      <c r="Q36" s="1070"/>
      <c r="R36" s="1070"/>
      <c r="S36" s="1070"/>
      <c r="T36" s="484"/>
      <c r="U36" s="484"/>
      <c r="V36" s="484"/>
      <c r="W36" s="484"/>
      <c r="X36" s="484"/>
      <c r="Y36" s="484"/>
      <c r="Z36" s="484"/>
      <c r="AA36" s="484"/>
      <c r="AB36" s="484"/>
      <c r="AC36" s="484"/>
      <c r="AD36" s="484"/>
      <c r="AE36" s="484"/>
      <c r="AF36" s="484"/>
      <c r="AG36" s="484"/>
      <c r="AH36" s="484"/>
      <c r="AI36" s="484"/>
      <c r="AJ36" s="484"/>
      <c r="AK36" s="484"/>
      <c r="AL36" s="484"/>
      <c r="AM36" s="484"/>
      <c r="AN36" s="484"/>
      <c r="AO36" s="484"/>
      <c r="AP36" s="484"/>
      <c r="AQ36" s="484"/>
      <c r="AR36" s="484"/>
    </row>
    <row r="37" spans="1:44" ht="14.5" x14ac:dyDescent="0.35">
      <c r="A37" s="484"/>
      <c r="B37" s="1708"/>
      <c r="C37" s="484"/>
      <c r="D37" s="803"/>
      <c r="E37" s="782"/>
      <c r="F37" s="782"/>
      <c r="G37" s="782"/>
      <c r="H37" s="782"/>
      <c r="I37" s="1095"/>
      <c r="J37" s="782"/>
      <c r="K37" s="783"/>
      <c r="L37" s="484"/>
      <c r="M37" s="1070"/>
      <c r="N37" s="1070"/>
      <c r="O37" s="1088"/>
      <c r="P37" s="484"/>
      <c r="Q37" s="1070"/>
      <c r="R37" s="1070"/>
      <c r="S37" s="1070"/>
      <c r="T37" s="484"/>
      <c r="U37" s="484"/>
      <c r="V37" s="484"/>
      <c r="W37" s="484"/>
      <c r="X37" s="484"/>
      <c r="Y37" s="484"/>
      <c r="Z37" s="484"/>
      <c r="AA37" s="484"/>
      <c r="AB37" s="484"/>
      <c r="AC37" s="484"/>
      <c r="AD37" s="484"/>
      <c r="AE37" s="484"/>
      <c r="AF37" s="484"/>
      <c r="AG37" s="484"/>
      <c r="AH37" s="484"/>
      <c r="AI37" s="484"/>
      <c r="AJ37" s="484"/>
      <c r="AK37" s="484"/>
      <c r="AL37" s="484"/>
      <c r="AM37" s="484"/>
      <c r="AN37" s="484"/>
      <c r="AO37" s="484"/>
      <c r="AP37" s="484"/>
      <c r="AQ37" s="484"/>
      <c r="AR37" s="484"/>
    </row>
    <row r="38" spans="1:44" ht="15.75" customHeight="1" x14ac:dyDescent="0.35">
      <c r="A38" s="484"/>
      <c r="B38" s="484"/>
      <c r="C38" s="484"/>
      <c r="D38" s="484"/>
      <c r="E38" s="484"/>
      <c r="F38" s="484"/>
      <c r="G38" s="484"/>
      <c r="H38" s="484"/>
      <c r="I38" s="1084"/>
      <c r="J38" s="484"/>
      <c r="K38" s="484"/>
      <c r="L38" s="484"/>
      <c r="M38" s="484"/>
      <c r="N38" s="484"/>
      <c r="O38" s="484"/>
      <c r="P38" s="484"/>
      <c r="Q38" s="484"/>
      <c r="R38" s="484"/>
      <c r="S38" s="484"/>
      <c r="T38" s="484"/>
      <c r="U38" s="484"/>
      <c r="V38" s="484"/>
      <c r="W38" s="484"/>
      <c r="X38" s="484"/>
      <c r="Y38" s="484"/>
      <c r="Z38" s="484"/>
      <c r="AA38" s="484"/>
      <c r="AB38" s="484"/>
      <c r="AC38" s="484"/>
      <c r="AD38" s="484"/>
      <c r="AE38" s="484"/>
      <c r="AF38" s="484"/>
      <c r="AG38" s="484"/>
      <c r="AH38" s="484"/>
      <c r="AI38" s="484"/>
      <c r="AJ38" s="484"/>
      <c r="AK38" s="484"/>
      <c r="AL38" s="484"/>
      <c r="AM38" s="484"/>
    </row>
    <row r="39" spans="1:44" ht="15.75" customHeight="1" x14ac:dyDescent="0.35">
      <c r="A39" s="484"/>
      <c r="B39" s="484"/>
      <c r="C39" s="484"/>
      <c r="D39" s="484"/>
      <c r="E39" s="484"/>
      <c r="F39" s="484"/>
      <c r="G39" s="484"/>
      <c r="H39" s="484"/>
      <c r="I39" s="1084"/>
      <c r="J39" s="484"/>
      <c r="K39" s="484"/>
      <c r="L39" s="484"/>
      <c r="M39" s="484"/>
      <c r="N39" s="484"/>
      <c r="O39" s="484"/>
      <c r="P39" s="484"/>
      <c r="Q39" s="484"/>
      <c r="R39" s="484"/>
      <c r="S39" s="484"/>
      <c r="T39" s="484"/>
      <c r="U39" s="484"/>
      <c r="V39" s="484"/>
      <c r="W39" s="484"/>
      <c r="X39" s="484"/>
      <c r="Y39" s="484"/>
      <c r="Z39" s="484"/>
      <c r="AA39" s="484"/>
      <c r="AB39" s="484"/>
      <c r="AC39" s="484"/>
      <c r="AD39" s="484"/>
      <c r="AE39" s="484"/>
      <c r="AF39" s="484"/>
      <c r="AG39" s="484"/>
      <c r="AH39" s="484"/>
      <c r="AI39" s="484"/>
      <c r="AJ39" s="484"/>
      <c r="AK39" s="484"/>
      <c r="AL39" s="484"/>
      <c r="AM39" s="484"/>
    </row>
    <row r="40" spans="1:44" ht="15.75" customHeight="1" x14ac:dyDescent="0.35">
      <c r="A40" s="484"/>
      <c r="B40" s="484"/>
      <c r="C40" s="484"/>
      <c r="D40" s="484"/>
      <c r="E40" s="484"/>
      <c r="F40" s="484"/>
      <c r="G40" s="484"/>
      <c r="H40" s="484"/>
      <c r="I40" s="1084"/>
      <c r="J40" s="484"/>
      <c r="K40" s="484"/>
      <c r="L40" s="484"/>
      <c r="M40" s="484"/>
      <c r="N40" s="484"/>
      <c r="O40" s="484"/>
      <c r="P40" s="484"/>
      <c r="Q40" s="484"/>
      <c r="R40" s="484"/>
      <c r="S40" s="484"/>
      <c r="T40" s="484"/>
      <c r="U40" s="484"/>
      <c r="V40" s="484"/>
      <c r="W40" s="484"/>
      <c r="X40" s="484"/>
      <c r="Y40" s="484"/>
      <c r="Z40" s="484"/>
      <c r="AA40" s="484"/>
      <c r="AB40" s="484"/>
      <c r="AC40" s="484"/>
      <c r="AD40" s="484"/>
      <c r="AE40" s="484"/>
      <c r="AF40" s="484"/>
      <c r="AG40" s="484"/>
      <c r="AH40" s="484"/>
      <c r="AI40" s="484"/>
      <c r="AJ40" s="484"/>
      <c r="AK40" s="484"/>
      <c r="AL40" s="484"/>
      <c r="AM40" s="484"/>
    </row>
    <row r="41" spans="1:44" ht="15.75" customHeight="1" x14ac:dyDescent="0.35">
      <c r="A41" s="484"/>
      <c r="B41" s="484"/>
      <c r="C41" s="484"/>
      <c r="D41" s="484"/>
      <c r="E41" s="484"/>
      <c r="F41" s="484"/>
      <c r="G41" s="484"/>
      <c r="H41" s="484"/>
      <c r="I41" s="1084"/>
      <c r="J41" s="484"/>
      <c r="K41" s="484"/>
      <c r="L41" s="484"/>
      <c r="M41" s="484"/>
      <c r="N41" s="484"/>
      <c r="O41" s="484"/>
      <c r="P41" s="484"/>
      <c r="Q41" s="484"/>
      <c r="R41" s="484"/>
      <c r="S41" s="484"/>
      <c r="T41" s="484"/>
      <c r="U41" s="484"/>
      <c r="V41" s="484"/>
      <c r="W41" s="484"/>
      <c r="X41" s="484"/>
      <c r="Y41" s="484"/>
      <c r="Z41" s="484"/>
      <c r="AA41" s="484"/>
      <c r="AB41" s="484"/>
      <c r="AC41" s="484"/>
      <c r="AD41" s="484"/>
      <c r="AE41" s="484"/>
      <c r="AF41" s="484"/>
      <c r="AG41" s="484"/>
      <c r="AH41" s="484"/>
      <c r="AI41" s="484"/>
      <c r="AJ41" s="484"/>
      <c r="AK41" s="484"/>
      <c r="AL41" s="484"/>
      <c r="AM41" s="484"/>
    </row>
    <row r="42" spans="1:44" ht="15.75" customHeight="1" x14ac:dyDescent="0.35">
      <c r="A42" s="484"/>
      <c r="B42" s="484"/>
      <c r="C42" s="484"/>
      <c r="D42" s="484"/>
      <c r="E42" s="484"/>
      <c r="F42" s="484"/>
      <c r="G42" s="484"/>
      <c r="H42" s="484"/>
      <c r="I42" s="1084"/>
      <c r="J42" s="484"/>
      <c r="K42" s="484"/>
      <c r="L42" s="484"/>
      <c r="M42" s="484"/>
      <c r="N42" s="484"/>
      <c r="O42" s="484"/>
      <c r="P42" s="484"/>
      <c r="Q42" s="484"/>
      <c r="R42" s="484"/>
      <c r="S42" s="484"/>
      <c r="T42" s="484"/>
      <c r="U42" s="484"/>
      <c r="V42" s="484"/>
      <c r="W42" s="484"/>
      <c r="X42" s="484"/>
      <c r="Y42" s="484"/>
      <c r="Z42" s="484"/>
      <c r="AA42" s="484"/>
      <c r="AB42" s="484"/>
      <c r="AC42" s="484"/>
      <c r="AD42" s="484"/>
      <c r="AE42" s="484"/>
      <c r="AF42" s="484"/>
      <c r="AG42" s="484"/>
      <c r="AH42" s="484"/>
      <c r="AI42" s="484"/>
      <c r="AJ42" s="484"/>
      <c r="AK42" s="484"/>
      <c r="AL42" s="484"/>
      <c r="AM42" s="484"/>
    </row>
    <row r="43" spans="1:44" ht="15.75" customHeight="1" x14ac:dyDescent="0.35">
      <c r="A43" s="484"/>
      <c r="B43" s="484"/>
      <c r="C43" s="484"/>
      <c r="D43" s="484"/>
      <c r="E43" s="484"/>
      <c r="F43" s="484"/>
      <c r="G43" s="484"/>
      <c r="H43" s="484"/>
      <c r="I43" s="1084"/>
      <c r="J43" s="484"/>
      <c r="K43" s="484"/>
      <c r="L43" s="484"/>
      <c r="M43" s="484"/>
      <c r="N43" s="484"/>
      <c r="O43" s="484"/>
      <c r="P43" s="484"/>
      <c r="Q43" s="484"/>
      <c r="R43" s="484"/>
      <c r="S43" s="484"/>
      <c r="T43" s="484"/>
      <c r="U43" s="484"/>
      <c r="V43" s="484"/>
      <c r="W43" s="484"/>
      <c r="X43" s="484"/>
      <c r="Y43" s="484"/>
      <c r="Z43" s="484"/>
      <c r="AA43" s="484"/>
      <c r="AB43" s="484"/>
      <c r="AC43" s="484"/>
      <c r="AD43" s="484"/>
      <c r="AE43" s="484"/>
      <c r="AF43" s="484"/>
      <c r="AG43" s="484"/>
      <c r="AH43" s="484"/>
      <c r="AI43" s="484"/>
      <c r="AJ43" s="484"/>
      <c r="AK43" s="484"/>
      <c r="AL43" s="484"/>
      <c r="AM43" s="484"/>
    </row>
    <row r="44" spans="1:44" ht="15.75" customHeight="1" x14ac:dyDescent="0.35">
      <c r="A44" s="484"/>
      <c r="B44" s="484"/>
      <c r="C44" s="484"/>
      <c r="D44" s="484"/>
      <c r="E44" s="484"/>
      <c r="F44" s="484"/>
      <c r="G44" s="484"/>
      <c r="H44" s="484"/>
      <c r="I44" s="1084"/>
      <c r="J44" s="484"/>
      <c r="K44" s="484"/>
      <c r="L44" s="484"/>
      <c r="M44" s="484"/>
      <c r="N44" s="484"/>
      <c r="O44" s="484"/>
      <c r="P44" s="484"/>
      <c r="Q44" s="484"/>
      <c r="R44" s="484"/>
      <c r="S44" s="484"/>
      <c r="T44" s="484"/>
      <c r="U44" s="484"/>
      <c r="V44" s="484"/>
      <c r="W44" s="484"/>
      <c r="X44" s="484"/>
      <c r="Y44" s="484"/>
      <c r="Z44" s="484"/>
      <c r="AA44" s="484"/>
      <c r="AB44" s="484"/>
      <c r="AC44" s="484"/>
      <c r="AD44" s="484"/>
      <c r="AE44" s="484"/>
      <c r="AF44" s="484"/>
      <c r="AG44" s="484"/>
      <c r="AH44" s="484"/>
      <c r="AI44" s="484"/>
      <c r="AJ44" s="484"/>
      <c r="AK44" s="484"/>
      <c r="AL44" s="484"/>
      <c r="AM44" s="484"/>
    </row>
    <row r="45" spans="1:44" ht="15.75" customHeight="1" x14ac:dyDescent="0.35">
      <c r="A45" s="484"/>
      <c r="B45" s="484"/>
      <c r="C45" s="484"/>
      <c r="D45" s="484"/>
      <c r="E45" s="484"/>
      <c r="F45" s="484"/>
      <c r="G45" s="484"/>
      <c r="H45" s="484"/>
      <c r="I45" s="1084"/>
      <c r="J45" s="484"/>
      <c r="K45" s="484"/>
      <c r="L45" s="484"/>
      <c r="M45" s="484"/>
      <c r="N45" s="484"/>
      <c r="O45" s="484"/>
      <c r="P45" s="484"/>
      <c r="Q45" s="484"/>
      <c r="R45" s="484"/>
      <c r="S45" s="484"/>
      <c r="T45" s="484"/>
      <c r="U45" s="484"/>
      <c r="V45" s="484"/>
      <c r="W45" s="484"/>
      <c r="X45" s="484"/>
      <c r="Y45" s="484"/>
      <c r="Z45" s="484"/>
      <c r="AA45" s="484"/>
      <c r="AB45" s="484"/>
      <c r="AC45" s="484"/>
      <c r="AD45" s="484"/>
      <c r="AE45" s="484"/>
      <c r="AF45" s="484"/>
      <c r="AG45" s="484"/>
      <c r="AH45" s="484"/>
      <c r="AI45" s="484"/>
      <c r="AJ45" s="484"/>
      <c r="AK45" s="484"/>
      <c r="AL45" s="484"/>
      <c r="AM45" s="484"/>
    </row>
    <row r="46" spans="1:44" ht="15.75" customHeight="1" x14ac:dyDescent="0.35">
      <c r="A46" s="484"/>
      <c r="B46" s="484"/>
      <c r="C46" s="484"/>
      <c r="D46" s="484"/>
      <c r="E46" s="484"/>
      <c r="F46" s="484"/>
      <c r="G46" s="484"/>
      <c r="H46" s="484"/>
      <c r="I46" s="1084"/>
      <c r="J46" s="484"/>
      <c r="K46" s="484"/>
      <c r="L46" s="484"/>
      <c r="M46" s="484"/>
      <c r="N46" s="484"/>
      <c r="O46" s="484"/>
      <c r="P46" s="484"/>
      <c r="Q46" s="484"/>
      <c r="R46" s="484"/>
      <c r="S46" s="484"/>
      <c r="T46" s="484"/>
      <c r="U46" s="484"/>
      <c r="V46" s="484"/>
      <c r="W46" s="484"/>
      <c r="X46" s="484"/>
      <c r="Y46" s="484"/>
      <c r="Z46" s="484"/>
      <c r="AA46" s="484"/>
      <c r="AB46" s="484"/>
      <c r="AC46" s="484"/>
      <c r="AD46" s="484"/>
      <c r="AE46" s="484"/>
      <c r="AF46" s="484"/>
      <c r="AG46" s="484"/>
      <c r="AH46" s="484"/>
      <c r="AI46" s="484"/>
      <c r="AJ46" s="484"/>
      <c r="AK46" s="484"/>
      <c r="AL46" s="484"/>
      <c r="AM46" s="484"/>
    </row>
    <row r="47" spans="1:44" ht="15.75" customHeight="1" x14ac:dyDescent="0.35">
      <c r="A47" s="484"/>
      <c r="B47" s="484"/>
      <c r="C47" s="484"/>
      <c r="D47" s="484"/>
      <c r="E47" s="484"/>
      <c r="F47" s="484"/>
      <c r="G47" s="484"/>
      <c r="H47" s="484"/>
      <c r="I47" s="1084"/>
      <c r="J47" s="484"/>
      <c r="K47" s="484"/>
      <c r="L47" s="484"/>
      <c r="M47" s="484"/>
      <c r="N47" s="484"/>
      <c r="O47" s="484"/>
      <c r="P47" s="484"/>
      <c r="Q47" s="484"/>
      <c r="R47" s="484"/>
      <c r="S47" s="484"/>
      <c r="T47" s="484"/>
      <c r="U47" s="484"/>
      <c r="V47" s="484"/>
      <c r="W47" s="484"/>
      <c r="X47" s="484"/>
      <c r="Y47" s="484"/>
      <c r="Z47" s="484"/>
      <c r="AA47" s="484"/>
      <c r="AB47" s="484"/>
      <c r="AC47" s="484"/>
      <c r="AD47" s="484"/>
      <c r="AE47" s="484"/>
      <c r="AF47" s="484"/>
      <c r="AG47" s="484"/>
      <c r="AH47" s="484"/>
      <c r="AI47" s="484"/>
      <c r="AJ47" s="484"/>
      <c r="AK47" s="484"/>
      <c r="AL47" s="484"/>
      <c r="AM47" s="484"/>
    </row>
    <row r="48" spans="1:44" ht="15.75" customHeight="1" x14ac:dyDescent="0.35">
      <c r="A48" s="484"/>
      <c r="B48" s="484"/>
      <c r="C48" s="484"/>
      <c r="D48" s="484"/>
      <c r="E48" s="484"/>
      <c r="F48" s="484"/>
      <c r="G48" s="484"/>
      <c r="H48" s="484"/>
      <c r="I48" s="1084"/>
      <c r="J48" s="484"/>
      <c r="K48" s="484"/>
      <c r="L48" s="484"/>
      <c r="M48" s="484"/>
      <c r="N48" s="484"/>
      <c r="O48" s="484"/>
      <c r="P48" s="484"/>
      <c r="Q48" s="484"/>
      <c r="R48" s="484"/>
      <c r="S48" s="484"/>
      <c r="T48" s="484"/>
      <c r="U48" s="484"/>
      <c r="V48" s="484"/>
      <c r="W48" s="484"/>
      <c r="X48" s="484"/>
      <c r="Y48" s="484"/>
      <c r="Z48" s="484"/>
      <c r="AA48" s="484"/>
      <c r="AB48" s="484"/>
      <c r="AC48" s="484"/>
      <c r="AD48" s="484"/>
      <c r="AE48" s="484"/>
      <c r="AF48" s="484"/>
      <c r="AG48" s="484"/>
      <c r="AH48" s="484"/>
      <c r="AI48" s="484"/>
      <c r="AJ48" s="484"/>
      <c r="AK48" s="484"/>
      <c r="AL48" s="484"/>
      <c r="AM48" s="484"/>
    </row>
    <row r="49" spans="1:39" ht="15.75" customHeight="1" x14ac:dyDescent="0.35">
      <c r="A49" s="484"/>
      <c r="B49" s="484"/>
      <c r="C49" s="484"/>
      <c r="D49" s="484"/>
      <c r="E49" s="484"/>
      <c r="F49" s="484"/>
      <c r="G49" s="484"/>
      <c r="H49" s="484"/>
      <c r="I49" s="1084"/>
      <c r="J49" s="484"/>
      <c r="K49" s="484"/>
      <c r="L49" s="484"/>
      <c r="M49" s="484"/>
      <c r="N49" s="484"/>
      <c r="O49" s="484"/>
      <c r="P49" s="484"/>
      <c r="Q49" s="484"/>
      <c r="R49" s="484"/>
      <c r="S49" s="484"/>
      <c r="T49" s="484"/>
      <c r="U49" s="484"/>
      <c r="V49" s="484"/>
      <c r="W49" s="484"/>
      <c r="X49" s="484"/>
      <c r="Y49" s="484"/>
      <c r="Z49" s="484"/>
      <c r="AA49" s="484"/>
      <c r="AB49" s="484"/>
      <c r="AC49" s="484"/>
      <c r="AD49" s="484"/>
      <c r="AE49" s="484"/>
      <c r="AF49" s="484"/>
      <c r="AG49" s="484"/>
      <c r="AH49" s="484"/>
      <c r="AI49" s="484"/>
      <c r="AJ49" s="484"/>
      <c r="AK49" s="484"/>
      <c r="AL49" s="484"/>
      <c r="AM49" s="484"/>
    </row>
    <row r="50" spans="1:39" ht="15.75" customHeight="1" x14ac:dyDescent="0.35">
      <c r="A50" s="484"/>
      <c r="B50" s="484"/>
      <c r="C50" s="484"/>
      <c r="D50" s="484"/>
      <c r="E50" s="484"/>
      <c r="F50" s="484"/>
      <c r="G50" s="484"/>
      <c r="H50" s="484"/>
      <c r="I50" s="1084"/>
      <c r="J50" s="484"/>
      <c r="K50" s="484"/>
      <c r="L50" s="484"/>
      <c r="M50" s="484"/>
      <c r="N50" s="484"/>
      <c r="O50" s="484"/>
      <c r="P50" s="484"/>
      <c r="Q50" s="484"/>
      <c r="R50" s="484"/>
      <c r="S50" s="484"/>
      <c r="T50" s="484"/>
      <c r="U50" s="484"/>
      <c r="V50" s="484"/>
      <c r="W50" s="484"/>
      <c r="X50" s="484"/>
      <c r="Y50" s="484"/>
      <c r="Z50" s="484"/>
      <c r="AA50" s="484"/>
      <c r="AB50" s="484"/>
      <c r="AC50" s="484"/>
      <c r="AD50" s="484"/>
      <c r="AE50" s="484"/>
      <c r="AF50" s="484"/>
      <c r="AG50" s="484"/>
      <c r="AH50" s="484"/>
      <c r="AI50" s="484"/>
      <c r="AJ50" s="484"/>
      <c r="AK50" s="484"/>
      <c r="AL50" s="484"/>
      <c r="AM50" s="484"/>
    </row>
    <row r="51" spans="1:39" ht="15.75" customHeight="1" x14ac:dyDescent="0.35">
      <c r="A51" s="484"/>
      <c r="B51" s="484"/>
      <c r="C51" s="484"/>
      <c r="D51" s="484"/>
      <c r="E51" s="484"/>
      <c r="F51" s="484"/>
      <c r="G51" s="484"/>
      <c r="H51" s="484"/>
      <c r="I51" s="1084"/>
      <c r="J51" s="484"/>
      <c r="K51" s="484"/>
      <c r="L51" s="484"/>
      <c r="M51" s="484"/>
      <c r="N51" s="484"/>
      <c r="O51" s="484"/>
      <c r="P51" s="484"/>
      <c r="Q51" s="484"/>
      <c r="R51" s="484"/>
      <c r="S51" s="484"/>
      <c r="T51" s="484"/>
      <c r="U51" s="484"/>
      <c r="V51" s="484"/>
      <c r="W51" s="484"/>
      <c r="X51" s="484"/>
      <c r="Y51" s="484"/>
      <c r="Z51" s="484"/>
      <c r="AA51" s="484"/>
      <c r="AB51" s="484"/>
      <c r="AC51" s="484"/>
      <c r="AD51" s="484"/>
      <c r="AE51" s="484"/>
      <c r="AF51" s="484"/>
      <c r="AG51" s="484"/>
      <c r="AH51" s="484"/>
      <c r="AI51" s="484"/>
      <c r="AJ51" s="484"/>
      <c r="AK51" s="484"/>
      <c r="AL51" s="484"/>
      <c r="AM51" s="484"/>
    </row>
    <row r="52" spans="1:39" ht="15.75" customHeight="1" x14ac:dyDescent="0.35">
      <c r="A52" s="484"/>
      <c r="B52" s="484"/>
      <c r="C52" s="484"/>
      <c r="D52" s="484"/>
      <c r="E52" s="484"/>
      <c r="F52" s="484"/>
      <c r="G52" s="484"/>
      <c r="H52" s="484"/>
      <c r="I52" s="10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row>
    <row r="53" spans="1:39" ht="15.75" customHeight="1" x14ac:dyDescent="0.35">
      <c r="A53" s="484"/>
      <c r="B53" s="484"/>
      <c r="C53" s="484"/>
      <c r="D53" s="484"/>
      <c r="E53" s="484"/>
      <c r="F53" s="484"/>
      <c r="G53" s="484"/>
      <c r="H53" s="484"/>
      <c r="I53" s="1084"/>
      <c r="J53" s="484"/>
      <c r="K53" s="484"/>
      <c r="L53" s="484"/>
      <c r="M53" s="484"/>
      <c r="N53" s="484"/>
      <c r="O53" s="484"/>
      <c r="P53" s="484"/>
      <c r="Q53" s="484"/>
      <c r="R53" s="484"/>
      <c r="S53" s="484"/>
      <c r="T53" s="484"/>
      <c r="U53" s="484"/>
      <c r="V53" s="484"/>
      <c r="W53" s="484"/>
      <c r="X53" s="484"/>
      <c r="Y53" s="484"/>
      <c r="Z53" s="484"/>
      <c r="AA53" s="484"/>
      <c r="AB53" s="484"/>
      <c r="AC53" s="484"/>
      <c r="AD53" s="484"/>
      <c r="AE53" s="484"/>
      <c r="AF53" s="484"/>
      <c r="AG53" s="484"/>
      <c r="AH53" s="484"/>
      <c r="AI53" s="484"/>
      <c r="AJ53" s="484"/>
      <c r="AK53" s="484"/>
      <c r="AL53" s="484"/>
      <c r="AM53" s="484"/>
    </row>
    <row r="54" spans="1:39" ht="15.75" customHeight="1" x14ac:dyDescent="0.35">
      <c r="A54" s="484"/>
      <c r="B54" s="484"/>
      <c r="C54" s="484"/>
      <c r="D54" s="484"/>
      <c r="E54" s="484"/>
      <c r="F54" s="484"/>
      <c r="G54" s="484"/>
      <c r="H54" s="484"/>
      <c r="I54" s="1084"/>
      <c r="J54" s="484"/>
      <c r="K54" s="484"/>
      <c r="L54" s="484"/>
      <c r="M54" s="484"/>
      <c r="N54" s="484"/>
      <c r="O54" s="484"/>
      <c r="P54" s="484"/>
      <c r="Q54" s="484"/>
      <c r="R54" s="484"/>
      <c r="S54" s="484"/>
      <c r="T54" s="484"/>
      <c r="U54" s="484"/>
      <c r="V54" s="484"/>
      <c r="W54" s="484"/>
      <c r="X54" s="484"/>
      <c r="Y54" s="484"/>
      <c r="Z54" s="484"/>
      <c r="AA54" s="484"/>
      <c r="AB54" s="484"/>
      <c r="AC54" s="484"/>
      <c r="AD54" s="484"/>
      <c r="AE54" s="484"/>
      <c r="AF54" s="484"/>
      <c r="AG54" s="484"/>
      <c r="AH54" s="484"/>
      <c r="AI54" s="484"/>
      <c r="AJ54" s="484"/>
      <c r="AK54" s="484"/>
      <c r="AL54" s="484"/>
      <c r="AM54" s="484"/>
    </row>
    <row r="55" spans="1:39" ht="15.75" customHeight="1" x14ac:dyDescent="0.35">
      <c r="A55" s="484"/>
      <c r="B55" s="484"/>
      <c r="C55" s="484"/>
      <c r="D55" s="484"/>
      <c r="E55" s="484"/>
      <c r="F55" s="484"/>
      <c r="G55" s="484"/>
      <c r="H55" s="484"/>
      <c r="I55" s="1084"/>
      <c r="J55" s="484"/>
      <c r="K55" s="484"/>
      <c r="L55" s="484"/>
      <c r="M55" s="484"/>
      <c r="N55" s="484"/>
      <c r="O55" s="484"/>
      <c r="P55" s="484"/>
      <c r="Q55" s="484"/>
      <c r="R55" s="484"/>
      <c r="S55" s="484"/>
      <c r="T55" s="484"/>
      <c r="U55" s="484"/>
      <c r="V55" s="484"/>
      <c r="W55" s="484"/>
      <c r="X55" s="484"/>
      <c r="Y55" s="484"/>
      <c r="Z55" s="484"/>
      <c r="AA55" s="484"/>
      <c r="AB55" s="484"/>
      <c r="AC55" s="484"/>
      <c r="AD55" s="484"/>
      <c r="AE55" s="484"/>
      <c r="AF55" s="484"/>
      <c r="AG55" s="484"/>
      <c r="AH55" s="484"/>
      <c r="AI55" s="484"/>
      <c r="AJ55" s="484"/>
      <c r="AK55" s="484"/>
      <c r="AL55" s="484"/>
      <c r="AM55" s="484"/>
    </row>
    <row r="56" spans="1:39" ht="15.75" customHeight="1" x14ac:dyDescent="0.35">
      <c r="A56" s="484"/>
      <c r="B56" s="484"/>
      <c r="C56" s="484"/>
      <c r="D56" s="484"/>
      <c r="E56" s="484"/>
      <c r="F56" s="484"/>
      <c r="G56" s="484"/>
      <c r="H56" s="484"/>
      <c r="I56" s="1084"/>
      <c r="J56" s="484"/>
      <c r="K56" s="484"/>
      <c r="L56" s="484"/>
      <c r="M56" s="484"/>
      <c r="N56" s="484"/>
      <c r="O56" s="484"/>
      <c r="P56" s="484"/>
      <c r="Q56" s="484"/>
      <c r="R56" s="484"/>
      <c r="S56" s="484"/>
      <c r="T56" s="484"/>
      <c r="U56" s="484"/>
      <c r="V56" s="484"/>
      <c r="W56" s="484"/>
      <c r="X56" s="484"/>
      <c r="Y56" s="484"/>
      <c r="Z56" s="484"/>
      <c r="AA56" s="484"/>
      <c r="AB56" s="484"/>
      <c r="AC56" s="484"/>
      <c r="AD56" s="484"/>
      <c r="AE56" s="484"/>
      <c r="AF56" s="484"/>
      <c r="AG56" s="484"/>
      <c r="AH56" s="484"/>
      <c r="AI56" s="484"/>
      <c r="AJ56" s="484"/>
      <c r="AK56" s="484"/>
      <c r="AL56" s="484"/>
      <c r="AM56" s="484"/>
    </row>
    <row r="57" spans="1:39" ht="15.75" customHeight="1" x14ac:dyDescent="0.35">
      <c r="A57" s="484"/>
      <c r="B57" s="484"/>
      <c r="C57" s="484"/>
      <c r="D57" s="484"/>
      <c r="E57" s="484"/>
      <c r="F57" s="484"/>
      <c r="G57" s="484"/>
      <c r="H57" s="484"/>
      <c r="I57" s="1084"/>
      <c r="J57" s="484"/>
      <c r="K57" s="484"/>
      <c r="L57" s="484"/>
      <c r="M57" s="484"/>
      <c r="N57" s="484"/>
      <c r="O57" s="484"/>
      <c r="P57" s="484"/>
      <c r="Q57" s="484"/>
      <c r="R57" s="484"/>
      <c r="S57" s="484"/>
      <c r="T57" s="484"/>
      <c r="U57" s="484"/>
      <c r="V57" s="484"/>
      <c r="W57" s="484"/>
      <c r="X57" s="484"/>
      <c r="Y57" s="484"/>
      <c r="Z57" s="484"/>
      <c r="AA57" s="484"/>
      <c r="AB57" s="484"/>
      <c r="AC57" s="484"/>
      <c r="AD57" s="484"/>
      <c r="AE57" s="484"/>
      <c r="AF57" s="484"/>
      <c r="AG57" s="484"/>
      <c r="AH57" s="484"/>
      <c r="AI57" s="484"/>
      <c r="AJ57" s="484"/>
      <c r="AK57" s="484"/>
      <c r="AL57" s="484"/>
      <c r="AM57" s="484"/>
    </row>
    <row r="58" spans="1:39" ht="15.75" customHeight="1" x14ac:dyDescent="0.35">
      <c r="A58" s="484"/>
      <c r="B58" s="484"/>
      <c r="C58" s="484"/>
      <c r="D58" s="484"/>
      <c r="E58" s="484"/>
      <c r="F58" s="484"/>
      <c r="G58" s="484"/>
      <c r="H58" s="484"/>
      <c r="I58" s="1084"/>
      <c r="J58" s="484"/>
      <c r="K58" s="484"/>
      <c r="L58" s="484"/>
      <c r="M58" s="484"/>
      <c r="N58" s="484"/>
      <c r="O58" s="484"/>
      <c r="P58" s="484"/>
      <c r="Q58" s="484"/>
      <c r="R58" s="484"/>
      <c r="S58" s="484"/>
      <c r="T58" s="484"/>
      <c r="U58" s="484"/>
      <c r="V58" s="484"/>
      <c r="W58" s="484"/>
      <c r="X58" s="484"/>
      <c r="Y58" s="484"/>
      <c r="Z58" s="484"/>
      <c r="AA58" s="484"/>
      <c r="AB58" s="484"/>
      <c r="AC58" s="484"/>
      <c r="AD58" s="484"/>
      <c r="AE58" s="484"/>
      <c r="AF58" s="484"/>
      <c r="AG58" s="484"/>
      <c r="AH58" s="484"/>
      <c r="AI58" s="484"/>
      <c r="AJ58" s="484"/>
      <c r="AK58" s="484"/>
      <c r="AL58" s="484"/>
      <c r="AM58" s="484"/>
    </row>
    <row r="59" spans="1:39" ht="15.75" customHeight="1" x14ac:dyDescent="0.35">
      <c r="A59" s="484"/>
      <c r="B59" s="484"/>
      <c r="C59" s="484"/>
      <c r="D59" s="484"/>
      <c r="E59" s="484"/>
      <c r="F59" s="484"/>
      <c r="G59" s="484"/>
      <c r="H59" s="484"/>
      <c r="I59" s="1084"/>
      <c r="J59" s="484"/>
      <c r="K59" s="484"/>
      <c r="L59" s="484"/>
      <c r="M59" s="484"/>
      <c r="N59" s="484"/>
      <c r="O59" s="484"/>
      <c r="P59" s="484"/>
      <c r="Q59" s="484"/>
      <c r="R59" s="484"/>
      <c r="S59" s="484"/>
      <c r="T59" s="484"/>
      <c r="U59" s="484"/>
      <c r="V59" s="484"/>
      <c r="W59" s="484"/>
      <c r="X59" s="484"/>
      <c r="Y59" s="484"/>
      <c r="Z59" s="484"/>
      <c r="AA59" s="484"/>
      <c r="AB59" s="484"/>
      <c r="AC59" s="484"/>
      <c r="AD59" s="484"/>
      <c r="AE59" s="484"/>
      <c r="AF59" s="484"/>
      <c r="AG59" s="484"/>
      <c r="AH59" s="484"/>
      <c r="AI59" s="484"/>
      <c r="AJ59" s="484"/>
      <c r="AK59" s="484"/>
      <c r="AL59" s="484"/>
      <c r="AM59" s="484"/>
    </row>
    <row r="60" spans="1:39" ht="15.75" customHeight="1" x14ac:dyDescent="0.35">
      <c r="A60" s="484"/>
      <c r="B60" s="484"/>
      <c r="C60" s="484"/>
      <c r="D60" s="484"/>
      <c r="E60" s="484"/>
      <c r="F60" s="484"/>
      <c r="G60" s="484"/>
      <c r="H60" s="484"/>
      <c r="I60" s="1084"/>
      <c r="J60" s="484"/>
      <c r="K60" s="484"/>
      <c r="L60" s="484"/>
      <c r="M60" s="484"/>
      <c r="N60" s="484"/>
      <c r="O60" s="484"/>
      <c r="P60" s="484"/>
      <c r="Q60" s="484"/>
      <c r="R60" s="484"/>
      <c r="S60" s="484"/>
      <c r="T60" s="484"/>
      <c r="U60" s="484"/>
      <c r="V60" s="484"/>
      <c r="W60" s="484"/>
      <c r="X60" s="484"/>
      <c r="Y60" s="484"/>
      <c r="Z60" s="484"/>
      <c r="AA60" s="484"/>
      <c r="AB60" s="484"/>
      <c r="AC60" s="484"/>
      <c r="AD60" s="484"/>
      <c r="AE60" s="484"/>
      <c r="AF60" s="484"/>
      <c r="AG60" s="484"/>
      <c r="AH60" s="484"/>
      <c r="AI60" s="484"/>
      <c r="AJ60" s="484"/>
      <c r="AK60" s="484"/>
      <c r="AL60" s="484"/>
      <c r="AM60" s="484"/>
    </row>
    <row r="61" spans="1:39" ht="15.75" customHeight="1" x14ac:dyDescent="0.35">
      <c r="A61" s="484"/>
      <c r="B61" s="484"/>
      <c r="C61" s="484"/>
      <c r="D61" s="484"/>
      <c r="E61" s="484"/>
      <c r="F61" s="484"/>
      <c r="G61" s="484"/>
      <c r="H61" s="484"/>
      <c r="I61" s="1084"/>
      <c r="J61" s="484"/>
      <c r="K61" s="484"/>
      <c r="L61" s="484"/>
      <c r="M61" s="484"/>
      <c r="N61" s="484"/>
      <c r="O61" s="484"/>
      <c r="P61" s="484"/>
      <c r="Q61" s="484"/>
      <c r="R61" s="484"/>
      <c r="S61" s="484"/>
      <c r="T61" s="484"/>
      <c r="U61" s="484"/>
      <c r="V61" s="484"/>
      <c r="W61" s="484"/>
      <c r="X61" s="484"/>
      <c r="Y61" s="484"/>
      <c r="Z61" s="484"/>
      <c r="AA61" s="484"/>
      <c r="AB61" s="484"/>
      <c r="AC61" s="484"/>
      <c r="AD61" s="484"/>
      <c r="AE61" s="484"/>
      <c r="AF61" s="484"/>
      <c r="AG61" s="484"/>
      <c r="AH61" s="484"/>
      <c r="AI61" s="484"/>
      <c r="AJ61" s="484"/>
      <c r="AK61" s="484"/>
      <c r="AL61" s="484"/>
      <c r="AM61" s="484"/>
    </row>
    <row r="62" spans="1:39" ht="15.75" customHeight="1" x14ac:dyDescent="0.35">
      <c r="A62" s="484"/>
      <c r="B62" s="484"/>
      <c r="C62" s="484"/>
      <c r="D62" s="484"/>
      <c r="E62" s="484"/>
      <c r="F62" s="484"/>
      <c r="G62" s="484"/>
      <c r="H62" s="484"/>
      <c r="I62" s="1084"/>
      <c r="J62" s="484"/>
      <c r="K62" s="484"/>
      <c r="L62" s="484"/>
      <c r="M62" s="484"/>
      <c r="N62" s="484"/>
      <c r="O62" s="484"/>
      <c r="P62" s="484"/>
      <c r="Q62" s="484"/>
      <c r="R62" s="484"/>
      <c r="S62" s="484"/>
      <c r="T62" s="484"/>
      <c r="U62" s="484"/>
      <c r="V62" s="484"/>
      <c r="W62" s="484"/>
      <c r="X62" s="484"/>
      <c r="Y62" s="484"/>
      <c r="Z62" s="484"/>
      <c r="AA62" s="484"/>
      <c r="AB62" s="484"/>
      <c r="AC62" s="484"/>
      <c r="AD62" s="484"/>
      <c r="AE62" s="484"/>
      <c r="AF62" s="484"/>
      <c r="AG62" s="484"/>
      <c r="AH62" s="484"/>
      <c r="AI62" s="484"/>
      <c r="AJ62" s="484"/>
      <c r="AK62" s="484"/>
      <c r="AL62" s="484"/>
      <c r="AM62" s="484"/>
    </row>
    <row r="63" spans="1:39" ht="15.75" customHeight="1" x14ac:dyDescent="0.35">
      <c r="A63" s="484"/>
      <c r="B63" s="484"/>
      <c r="C63" s="484"/>
      <c r="D63" s="484"/>
      <c r="E63" s="484"/>
      <c r="F63" s="484"/>
      <c r="G63" s="484"/>
      <c r="H63" s="484"/>
      <c r="I63" s="1084"/>
      <c r="J63" s="484"/>
      <c r="K63" s="484"/>
      <c r="L63" s="484"/>
      <c r="M63" s="484"/>
      <c r="N63" s="484"/>
      <c r="O63" s="484"/>
      <c r="P63" s="484"/>
      <c r="Q63" s="484"/>
      <c r="R63" s="484"/>
      <c r="S63" s="484"/>
      <c r="T63" s="484"/>
      <c r="U63" s="484"/>
      <c r="V63" s="484"/>
      <c r="W63" s="484"/>
      <c r="X63" s="484"/>
      <c r="Y63" s="484"/>
      <c r="Z63" s="484"/>
      <c r="AA63" s="484"/>
      <c r="AB63" s="484"/>
      <c r="AC63" s="484"/>
      <c r="AD63" s="484"/>
      <c r="AE63" s="484"/>
      <c r="AF63" s="484"/>
      <c r="AG63" s="484"/>
      <c r="AH63" s="484"/>
      <c r="AI63" s="484"/>
      <c r="AJ63" s="484"/>
      <c r="AK63" s="484"/>
      <c r="AL63" s="484"/>
      <c r="AM63" s="484"/>
    </row>
    <row r="64" spans="1:39" ht="15.75" customHeight="1" x14ac:dyDescent="0.35">
      <c r="A64" s="484"/>
      <c r="B64" s="484"/>
      <c r="C64" s="484"/>
      <c r="D64" s="484"/>
      <c r="E64" s="484"/>
      <c r="F64" s="484"/>
      <c r="G64" s="484"/>
      <c r="H64" s="484"/>
      <c r="I64" s="1084"/>
      <c r="J64" s="484"/>
      <c r="K64" s="484"/>
      <c r="L64" s="484"/>
      <c r="M64" s="484"/>
      <c r="N64" s="484"/>
      <c r="O64" s="484"/>
      <c r="P64" s="484"/>
      <c r="Q64" s="484"/>
      <c r="R64" s="484"/>
      <c r="S64" s="484"/>
      <c r="T64" s="484"/>
      <c r="U64" s="484"/>
      <c r="V64" s="484"/>
      <c r="W64" s="484"/>
      <c r="X64" s="484"/>
      <c r="Y64" s="484"/>
      <c r="Z64" s="484"/>
      <c r="AA64" s="484"/>
      <c r="AB64" s="484"/>
      <c r="AC64" s="484"/>
      <c r="AD64" s="484"/>
      <c r="AE64" s="484"/>
      <c r="AF64" s="484"/>
      <c r="AG64" s="484"/>
      <c r="AH64" s="484"/>
      <c r="AI64" s="484"/>
      <c r="AJ64" s="484"/>
      <c r="AK64" s="484"/>
      <c r="AL64" s="484"/>
      <c r="AM64" s="484"/>
    </row>
    <row r="65" spans="1:39" ht="15.75" customHeight="1" x14ac:dyDescent="0.35">
      <c r="A65" s="484"/>
      <c r="B65" s="484"/>
      <c r="C65" s="484"/>
      <c r="D65" s="484"/>
      <c r="E65" s="484"/>
      <c r="F65" s="484"/>
      <c r="G65" s="484"/>
      <c r="H65" s="484"/>
      <c r="I65" s="1084"/>
      <c r="J65" s="484"/>
      <c r="K65" s="484"/>
      <c r="L65" s="484"/>
      <c r="M65" s="484"/>
      <c r="N65" s="484"/>
      <c r="O65" s="484"/>
      <c r="P65" s="484"/>
      <c r="Q65" s="484"/>
      <c r="R65" s="484"/>
      <c r="S65" s="484"/>
      <c r="T65" s="484"/>
      <c r="U65" s="484"/>
      <c r="V65" s="484"/>
      <c r="W65" s="484"/>
      <c r="X65" s="484"/>
      <c r="Y65" s="484"/>
      <c r="Z65" s="484"/>
      <c r="AA65" s="484"/>
      <c r="AB65" s="484"/>
      <c r="AC65" s="484"/>
      <c r="AD65" s="484"/>
      <c r="AE65" s="484"/>
      <c r="AF65" s="484"/>
      <c r="AG65" s="484"/>
      <c r="AH65" s="484"/>
      <c r="AI65" s="484"/>
      <c r="AJ65" s="484"/>
      <c r="AK65" s="484"/>
      <c r="AL65" s="484"/>
      <c r="AM65" s="484"/>
    </row>
    <row r="66" spans="1:39" ht="15.75" customHeight="1" x14ac:dyDescent="0.35">
      <c r="A66" s="484"/>
      <c r="B66" s="484"/>
      <c r="C66" s="484"/>
      <c r="D66" s="484"/>
      <c r="E66" s="484"/>
      <c r="F66" s="484"/>
      <c r="G66" s="484"/>
      <c r="H66" s="484"/>
      <c r="I66" s="1084"/>
      <c r="J66" s="484"/>
      <c r="K66" s="484"/>
      <c r="L66" s="484"/>
      <c r="M66" s="484"/>
      <c r="N66" s="484"/>
      <c r="O66" s="484"/>
      <c r="P66" s="484"/>
      <c r="Q66" s="484"/>
      <c r="R66" s="484"/>
      <c r="S66" s="484"/>
      <c r="T66" s="484"/>
      <c r="U66" s="484"/>
      <c r="V66" s="484"/>
      <c r="W66" s="484"/>
      <c r="X66" s="484"/>
      <c r="Y66" s="484"/>
      <c r="Z66" s="484"/>
      <c r="AA66" s="484"/>
      <c r="AB66" s="484"/>
      <c r="AC66" s="484"/>
      <c r="AD66" s="484"/>
      <c r="AE66" s="484"/>
      <c r="AF66" s="484"/>
      <c r="AG66" s="484"/>
      <c r="AH66" s="484"/>
      <c r="AI66" s="484"/>
      <c r="AJ66" s="484"/>
      <c r="AK66" s="484"/>
      <c r="AL66" s="484"/>
      <c r="AM66" s="484"/>
    </row>
    <row r="67" spans="1:39" ht="15.75" customHeight="1" x14ac:dyDescent="0.35">
      <c r="A67" s="484"/>
      <c r="B67" s="484"/>
      <c r="C67" s="484"/>
      <c r="D67" s="484"/>
      <c r="E67" s="484"/>
      <c r="F67" s="484"/>
      <c r="G67" s="484"/>
      <c r="H67" s="484"/>
      <c r="I67" s="1084"/>
      <c r="J67" s="484"/>
      <c r="K67" s="484"/>
      <c r="L67" s="484"/>
      <c r="M67" s="484"/>
      <c r="N67" s="484"/>
      <c r="O67" s="484"/>
      <c r="P67" s="484"/>
      <c r="Q67" s="484"/>
      <c r="R67" s="484"/>
      <c r="S67" s="484"/>
      <c r="T67" s="484"/>
      <c r="U67" s="484"/>
      <c r="V67" s="484"/>
      <c r="W67" s="484"/>
      <c r="X67" s="484"/>
      <c r="Y67" s="484"/>
      <c r="Z67" s="484"/>
      <c r="AA67" s="484"/>
      <c r="AB67" s="484"/>
      <c r="AC67" s="484"/>
      <c r="AD67" s="484"/>
      <c r="AE67" s="484"/>
      <c r="AF67" s="484"/>
      <c r="AG67" s="484"/>
      <c r="AH67" s="484"/>
      <c r="AI67" s="484"/>
      <c r="AJ67" s="484"/>
      <c r="AK67" s="484"/>
      <c r="AL67" s="484"/>
      <c r="AM67" s="484"/>
    </row>
    <row r="68" spans="1:39" ht="15.75" customHeight="1" x14ac:dyDescent="0.35">
      <c r="A68" s="484"/>
      <c r="B68" s="484"/>
      <c r="C68" s="484"/>
      <c r="D68" s="484"/>
      <c r="E68" s="484"/>
      <c r="F68" s="484"/>
      <c r="G68" s="484"/>
      <c r="H68" s="484"/>
      <c r="I68" s="1084"/>
      <c r="J68" s="484"/>
      <c r="K68" s="484"/>
      <c r="L68" s="484"/>
      <c r="M68" s="484"/>
      <c r="N68" s="484"/>
      <c r="O68" s="484"/>
      <c r="P68" s="484"/>
      <c r="Q68" s="484"/>
      <c r="R68" s="484"/>
      <c r="S68" s="484"/>
      <c r="T68" s="484"/>
      <c r="U68" s="484"/>
      <c r="V68" s="484"/>
      <c r="W68" s="484"/>
      <c r="X68" s="484"/>
      <c r="Y68" s="484"/>
      <c r="Z68" s="484"/>
      <c r="AA68" s="484"/>
      <c r="AB68" s="484"/>
      <c r="AC68" s="484"/>
      <c r="AD68" s="484"/>
      <c r="AE68" s="484"/>
      <c r="AF68" s="484"/>
      <c r="AG68" s="484"/>
      <c r="AH68" s="484"/>
      <c r="AI68" s="484"/>
      <c r="AJ68" s="484"/>
      <c r="AK68" s="484"/>
      <c r="AL68" s="484"/>
      <c r="AM68" s="484"/>
    </row>
    <row r="69" spans="1:39" ht="15.75" customHeight="1" x14ac:dyDescent="0.35">
      <c r="A69" s="484"/>
      <c r="B69" s="484"/>
      <c r="C69" s="484"/>
      <c r="D69" s="484"/>
      <c r="E69" s="484"/>
      <c r="F69" s="484"/>
      <c r="G69" s="484"/>
      <c r="H69" s="484"/>
      <c r="I69" s="1084"/>
      <c r="J69" s="484"/>
      <c r="K69" s="484"/>
      <c r="L69" s="484"/>
      <c r="M69" s="484"/>
      <c r="N69" s="484"/>
      <c r="O69" s="484"/>
      <c r="P69" s="484"/>
      <c r="Q69" s="484"/>
      <c r="R69" s="484"/>
      <c r="S69" s="484"/>
      <c r="T69" s="484"/>
      <c r="U69" s="484"/>
      <c r="V69" s="484"/>
      <c r="W69" s="484"/>
      <c r="X69" s="484"/>
      <c r="Y69" s="484"/>
      <c r="Z69" s="484"/>
      <c r="AA69" s="484"/>
      <c r="AB69" s="484"/>
      <c r="AC69" s="484"/>
      <c r="AD69" s="484"/>
      <c r="AE69" s="484"/>
      <c r="AF69" s="484"/>
      <c r="AG69" s="484"/>
      <c r="AH69" s="484"/>
      <c r="AI69" s="484"/>
      <c r="AJ69" s="484"/>
      <c r="AK69" s="484"/>
      <c r="AL69" s="484"/>
      <c r="AM69" s="484"/>
    </row>
    <row r="70" spans="1:39" ht="15.75" customHeight="1" x14ac:dyDescent="0.35">
      <c r="A70" s="484"/>
      <c r="B70" s="484"/>
      <c r="C70" s="484"/>
      <c r="D70" s="484"/>
      <c r="E70" s="484"/>
      <c r="F70" s="484"/>
      <c r="G70" s="484"/>
      <c r="H70" s="484"/>
      <c r="I70" s="1084"/>
      <c r="J70" s="484"/>
      <c r="K70" s="484"/>
      <c r="L70" s="484"/>
      <c r="M70" s="484"/>
      <c r="N70" s="484"/>
      <c r="O70" s="484"/>
      <c r="P70" s="484"/>
      <c r="Q70" s="484"/>
      <c r="R70" s="484"/>
      <c r="S70" s="484"/>
      <c r="T70" s="484"/>
      <c r="U70" s="484"/>
      <c r="V70" s="484"/>
      <c r="W70" s="484"/>
      <c r="X70" s="484"/>
      <c r="Y70" s="484"/>
      <c r="Z70" s="484"/>
      <c r="AA70" s="484"/>
      <c r="AB70" s="484"/>
      <c r="AC70" s="484"/>
      <c r="AD70" s="484"/>
      <c r="AE70" s="484"/>
      <c r="AF70" s="484"/>
      <c r="AG70" s="484"/>
      <c r="AH70" s="484"/>
      <c r="AI70" s="484"/>
      <c r="AJ70" s="484"/>
      <c r="AK70" s="484"/>
      <c r="AL70" s="484"/>
      <c r="AM70" s="484"/>
    </row>
    <row r="71" spans="1:39" ht="15.75" customHeight="1" x14ac:dyDescent="0.35">
      <c r="A71" s="484"/>
      <c r="B71" s="484"/>
      <c r="C71" s="484"/>
      <c r="D71" s="484"/>
      <c r="E71" s="484"/>
      <c r="F71" s="484"/>
      <c r="G71" s="484"/>
      <c r="H71" s="484"/>
      <c r="I71" s="1084"/>
      <c r="J71" s="484"/>
      <c r="K71" s="484"/>
      <c r="L71" s="484"/>
      <c r="M71" s="484"/>
      <c r="N71" s="484"/>
      <c r="O71" s="484"/>
      <c r="P71" s="484"/>
      <c r="Q71" s="484"/>
      <c r="R71" s="484"/>
      <c r="S71" s="484"/>
      <c r="T71" s="484"/>
      <c r="U71" s="484"/>
      <c r="V71" s="484"/>
      <c r="W71" s="484"/>
      <c r="X71" s="484"/>
      <c r="Y71" s="484"/>
      <c r="Z71" s="484"/>
      <c r="AA71" s="484"/>
      <c r="AB71" s="484"/>
      <c r="AC71" s="484"/>
      <c r="AD71" s="484"/>
      <c r="AE71" s="484"/>
      <c r="AF71" s="484"/>
      <c r="AG71" s="484"/>
      <c r="AH71" s="484"/>
      <c r="AI71" s="484"/>
      <c r="AJ71" s="484"/>
      <c r="AK71" s="484"/>
      <c r="AL71" s="484"/>
      <c r="AM71" s="484"/>
    </row>
    <row r="72" spans="1:39" ht="15.75" customHeight="1" x14ac:dyDescent="0.35">
      <c r="A72" s="484"/>
      <c r="B72" s="484"/>
      <c r="C72" s="484"/>
      <c r="D72" s="484"/>
      <c r="E72" s="484"/>
      <c r="F72" s="484"/>
      <c r="G72" s="484"/>
      <c r="H72" s="484"/>
      <c r="I72" s="1084"/>
      <c r="J72" s="484"/>
      <c r="K72" s="484"/>
      <c r="L72" s="484"/>
      <c r="M72" s="484"/>
      <c r="N72" s="484"/>
      <c r="O72" s="484"/>
      <c r="P72" s="484"/>
      <c r="Q72" s="484"/>
      <c r="R72" s="484"/>
      <c r="S72" s="484"/>
      <c r="T72" s="484"/>
      <c r="U72" s="484"/>
      <c r="V72" s="484"/>
      <c r="W72" s="484"/>
      <c r="X72" s="484"/>
      <c r="Y72" s="484"/>
      <c r="Z72" s="484"/>
      <c r="AA72" s="484"/>
      <c r="AB72" s="484"/>
      <c r="AC72" s="484"/>
      <c r="AD72" s="484"/>
      <c r="AE72" s="484"/>
      <c r="AF72" s="484"/>
      <c r="AG72" s="484"/>
      <c r="AH72" s="484"/>
      <c r="AI72" s="484"/>
      <c r="AJ72" s="484"/>
      <c r="AK72" s="484"/>
      <c r="AL72" s="484"/>
      <c r="AM72" s="484"/>
    </row>
    <row r="73" spans="1:39" ht="15.75" customHeight="1" x14ac:dyDescent="0.35">
      <c r="A73" s="484"/>
      <c r="B73" s="484"/>
      <c r="C73" s="484"/>
      <c r="D73" s="484"/>
      <c r="E73" s="484"/>
      <c r="F73" s="484"/>
      <c r="G73" s="484"/>
      <c r="H73" s="484"/>
      <c r="I73" s="1084"/>
      <c r="J73" s="484"/>
      <c r="K73" s="484"/>
      <c r="L73" s="484"/>
      <c r="M73" s="484"/>
      <c r="N73" s="484"/>
      <c r="O73" s="484"/>
      <c r="P73" s="484"/>
      <c r="Q73" s="484"/>
      <c r="R73" s="484"/>
      <c r="S73" s="484"/>
      <c r="T73" s="484"/>
      <c r="U73" s="484"/>
      <c r="V73" s="484"/>
      <c r="W73" s="484"/>
      <c r="X73" s="484"/>
      <c r="Y73" s="484"/>
      <c r="Z73" s="484"/>
      <c r="AA73" s="484"/>
      <c r="AB73" s="484"/>
      <c r="AC73" s="484"/>
      <c r="AD73" s="484"/>
      <c r="AE73" s="484"/>
      <c r="AF73" s="484"/>
      <c r="AG73" s="484"/>
      <c r="AH73" s="484"/>
      <c r="AI73" s="484"/>
      <c r="AJ73" s="484"/>
      <c r="AK73" s="484"/>
      <c r="AL73" s="484"/>
      <c r="AM73" s="484"/>
    </row>
    <row r="74" spans="1:39" ht="15.75" customHeight="1" x14ac:dyDescent="0.35">
      <c r="A74" s="484"/>
      <c r="B74" s="484"/>
      <c r="C74" s="484"/>
      <c r="D74" s="484"/>
      <c r="E74" s="484"/>
      <c r="F74" s="484"/>
      <c r="G74" s="484"/>
      <c r="H74" s="484"/>
      <c r="I74" s="1084"/>
      <c r="J74" s="484"/>
      <c r="K74" s="484"/>
      <c r="L74" s="484"/>
      <c r="M74" s="484"/>
      <c r="N74" s="484"/>
      <c r="O74" s="484"/>
      <c r="P74" s="484"/>
      <c r="Q74" s="484"/>
      <c r="R74" s="484"/>
      <c r="S74" s="484"/>
      <c r="T74" s="484"/>
      <c r="U74" s="484"/>
      <c r="V74" s="484"/>
      <c r="W74" s="484"/>
      <c r="X74" s="484"/>
      <c r="Y74" s="484"/>
      <c r="Z74" s="484"/>
      <c r="AA74" s="484"/>
      <c r="AB74" s="484"/>
      <c r="AC74" s="484"/>
      <c r="AD74" s="484"/>
      <c r="AE74" s="484"/>
      <c r="AF74" s="484"/>
      <c r="AG74" s="484"/>
      <c r="AH74" s="484"/>
      <c r="AI74" s="484"/>
      <c r="AJ74" s="484"/>
      <c r="AK74" s="484"/>
      <c r="AL74" s="484"/>
      <c r="AM74" s="484"/>
    </row>
    <row r="75" spans="1:39" ht="15.75" customHeight="1" x14ac:dyDescent="0.35">
      <c r="A75" s="484"/>
      <c r="B75" s="484"/>
      <c r="C75" s="484"/>
      <c r="D75" s="484"/>
      <c r="E75" s="484"/>
      <c r="F75" s="484"/>
      <c r="G75" s="484"/>
      <c r="H75" s="484"/>
      <c r="I75" s="1084"/>
      <c r="J75" s="484"/>
      <c r="K75" s="484"/>
      <c r="L75" s="484"/>
      <c r="M75" s="484"/>
      <c r="N75" s="484"/>
      <c r="O75" s="484"/>
      <c r="P75" s="484"/>
      <c r="Q75" s="484"/>
      <c r="R75" s="484"/>
      <c r="S75" s="484"/>
      <c r="T75" s="484"/>
      <c r="U75" s="484"/>
      <c r="V75" s="484"/>
      <c r="W75" s="484"/>
      <c r="X75" s="484"/>
      <c r="Y75" s="484"/>
      <c r="Z75" s="484"/>
      <c r="AA75" s="484"/>
      <c r="AB75" s="484"/>
      <c r="AC75" s="484"/>
      <c r="AD75" s="484"/>
      <c r="AE75" s="484"/>
      <c r="AF75" s="484"/>
      <c r="AG75" s="484"/>
      <c r="AH75" s="484"/>
      <c r="AI75" s="484"/>
      <c r="AJ75" s="484"/>
      <c r="AK75" s="484"/>
      <c r="AL75" s="484"/>
      <c r="AM75" s="484"/>
    </row>
    <row r="76" spans="1:39" ht="15.75" customHeight="1" x14ac:dyDescent="0.35">
      <c r="A76" s="484"/>
      <c r="B76" s="484"/>
      <c r="C76" s="484"/>
      <c r="D76" s="484"/>
      <c r="E76" s="484"/>
      <c r="F76" s="484"/>
      <c r="G76" s="484"/>
      <c r="H76" s="484"/>
      <c r="I76" s="1084"/>
      <c r="J76" s="484"/>
      <c r="K76" s="484"/>
      <c r="L76" s="484"/>
      <c r="M76" s="484"/>
      <c r="N76" s="484"/>
      <c r="O76" s="484"/>
      <c r="P76" s="484"/>
      <c r="Q76" s="484"/>
      <c r="R76" s="484"/>
      <c r="S76" s="484"/>
      <c r="T76" s="484"/>
      <c r="U76" s="484"/>
      <c r="V76" s="484"/>
      <c r="W76" s="484"/>
      <c r="X76" s="484"/>
      <c r="Y76" s="484"/>
      <c r="Z76" s="484"/>
      <c r="AA76" s="484"/>
      <c r="AB76" s="484"/>
      <c r="AC76" s="484"/>
      <c r="AD76" s="484"/>
      <c r="AE76" s="484"/>
      <c r="AF76" s="484"/>
      <c r="AG76" s="484"/>
      <c r="AH76" s="484"/>
      <c r="AI76" s="484"/>
      <c r="AJ76" s="484"/>
      <c r="AK76" s="484"/>
      <c r="AL76" s="484"/>
      <c r="AM76" s="484"/>
    </row>
    <row r="77" spans="1:39" ht="15.75" customHeight="1" x14ac:dyDescent="0.35">
      <c r="A77" s="484"/>
      <c r="B77" s="484"/>
      <c r="C77" s="484"/>
      <c r="D77" s="484"/>
      <c r="E77" s="484"/>
      <c r="F77" s="484"/>
      <c r="G77" s="484"/>
      <c r="H77" s="484"/>
      <c r="I77" s="1084"/>
      <c r="J77" s="484"/>
      <c r="K77" s="484"/>
      <c r="L77" s="484"/>
      <c r="M77" s="484"/>
      <c r="N77" s="484"/>
      <c r="O77" s="484"/>
      <c r="P77" s="484"/>
      <c r="Q77" s="484"/>
      <c r="R77" s="484"/>
      <c r="S77" s="484"/>
      <c r="T77" s="484"/>
      <c r="U77" s="484"/>
      <c r="V77" s="484"/>
      <c r="W77" s="484"/>
      <c r="X77" s="484"/>
      <c r="Y77" s="484"/>
      <c r="Z77" s="484"/>
      <c r="AA77" s="484"/>
      <c r="AB77" s="484"/>
      <c r="AC77" s="484"/>
      <c r="AD77" s="484"/>
      <c r="AE77" s="484"/>
      <c r="AF77" s="484"/>
      <c r="AG77" s="484"/>
      <c r="AH77" s="484"/>
      <c r="AI77" s="484"/>
      <c r="AJ77" s="484"/>
      <c r="AK77" s="484"/>
      <c r="AL77" s="484"/>
      <c r="AM77" s="484"/>
    </row>
    <row r="78" spans="1:39" ht="15.75" customHeight="1" x14ac:dyDescent="0.35">
      <c r="A78" s="484"/>
      <c r="B78" s="484"/>
      <c r="C78" s="484"/>
      <c r="D78" s="484"/>
      <c r="E78" s="484"/>
      <c r="F78" s="484"/>
      <c r="G78" s="484"/>
      <c r="H78" s="484"/>
      <c r="I78" s="1084"/>
      <c r="J78" s="484"/>
      <c r="K78" s="484"/>
      <c r="L78" s="484"/>
      <c r="M78" s="484"/>
      <c r="N78" s="484"/>
      <c r="O78" s="484"/>
      <c r="P78" s="484"/>
      <c r="Q78" s="484"/>
      <c r="R78" s="484"/>
      <c r="S78" s="484"/>
      <c r="T78" s="484"/>
      <c r="U78" s="484"/>
      <c r="V78" s="484"/>
      <c r="W78" s="484"/>
      <c r="X78" s="484"/>
      <c r="Y78" s="484"/>
      <c r="Z78" s="484"/>
      <c r="AA78" s="484"/>
      <c r="AB78" s="484"/>
      <c r="AC78" s="484"/>
      <c r="AD78" s="484"/>
      <c r="AE78" s="484"/>
      <c r="AF78" s="484"/>
      <c r="AG78" s="484"/>
      <c r="AH78" s="484"/>
      <c r="AI78" s="484"/>
      <c r="AJ78" s="484"/>
      <c r="AK78" s="484"/>
      <c r="AL78" s="484"/>
      <c r="AM78" s="484"/>
    </row>
    <row r="79" spans="1:39" ht="15.75" customHeight="1" x14ac:dyDescent="0.35">
      <c r="A79" s="484"/>
      <c r="B79" s="484"/>
      <c r="C79" s="484"/>
      <c r="D79" s="484"/>
      <c r="E79" s="484"/>
      <c r="F79" s="484"/>
      <c r="G79" s="484"/>
      <c r="H79" s="484"/>
      <c r="I79" s="1084"/>
      <c r="J79" s="484"/>
      <c r="K79" s="484"/>
      <c r="L79" s="484"/>
      <c r="M79" s="484"/>
      <c r="N79" s="484"/>
      <c r="O79" s="484"/>
      <c r="P79" s="484"/>
      <c r="Q79" s="484"/>
      <c r="R79" s="484"/>
      <c r="S79" s="484"/>
      <c r="T79" s="484"/>
      <c r="U79" s="484"/>
      <c r="V79" s="484"/>
      <c r="W79" s="484"/>
      <c r="X79" s="484"/>
      <c r="Y79" s="484"/>
      <c r="Z79" s="484"/>
      <c r="AA79" s="484"/>
      <c r="AB79" s="484"/>
      <c r="AC79" s="484"/>
      <c r="AD79" s="484"/>
      <c r="AE79" s="484"/>
      <c r="AF79" s="484"/>
      <c r="AG79" s="484"/>
      <c r="AH79" s="484"/>
      <c r="AI79" s="484"/>
      <c r="AJ79" s="484"/>
      <c r="AK79" s="484"/>
      <c r="AL79" s="484"/>
      <c r="AM79" s="484"/>
    </row>
    <row r="80" spans="1:39" ht="15.75" customHeight="1" x14ac:dyDescent="0.35">
      <c r="A80" s="484"/>
      <c r="B80" s="484"/>
      <c r="C80" s="484"/>
      <c r="D80" s="484"/>
      <c r="E80" s="484"/>
      <c r="F80" s="484"/>
      <c r="G80" s="484"/>
      <c r="H80" s="484"/>
      <c r="I80" s="1084"/>
      <c r="J80" s="484"/>
      <c r="K80" s="484"/>
      <c r="L80" s="484"/>
      <c r="M80" s="484"/>
      <c r="N80" s="484"/>
      <c r="O80" s="484"/>
      <c r="P80" s="484"/>
      <c r="Q80" s="484"/>
      <c r="R80" s="484"/>
      <c r="S80" s="484"/>
      <c r="T80" s="484"/>
      <c r="U80" s="484"/>
      <c r="V80" s="484"/>
      <c r="W80" s="484"/>
      <c r="X80" s="484"/>
      <c r="Y80" s="484"/>
      <c r="Z80" s="484"/>
      <c r="AA80" s="484"/>
      <c r="AB80" s="484"/>
      <c r="AC80" s="484"/>
      <c r="AD80" s="484"/>
      <c r="AE80" s="484"/>
      <c r="AF80" s="484"/>
      <c r="AG80" s="484"/>
      <c r="AH80" s="484"/>
      <c r="AI80" s="484"/>
      <c r="AJ80" s="484"/>
      <c r="AK80" s="484"/>
      <c r="AL80" s="484"/>
      <c r="AM80" s="484"/>
    </row>
    <row r="81" spans="1:39" ht="15.75" customHeight="1" x14ac:dyDescent="0.35">
      <c r="A81" s="484"/>
      <c r="B81" s="484"/>
      <c r="C81" s="484"/>
      <c r="D81" s="484"/>
      <c r="E81" s="484"/>
      <c r="F81" s="484"/>
      <c r="G81" s="484"/>
      <c r="H81" s="484"/>
      <c r="I81" s="1084"/>
      <c r="J81" s="484"/>
      <c r="K81" s="484"/>
      <c r="L81" s="484"/>
      <c r="M81" s="484"/>
      <c r="N81" s="484"/>
      <c r="O81" s="484"/>
      <c r="P81" s="484"/>
      <c r="Q81" s="484"/>
      <c r="R81" s="484"/>
      <c r="S81" s="484"/>
      <c r="T81" s="484"/>
      <c r="U81" s="484"/>
      <c r="V81" s="484"/>
      <c r="W81" s="484"/>
      <c r="X81" s="484"/>
      <c r="Y81" s="484"/>
      <c r="Z81" s="484"/>
      <c r="AA81" s="484"/>
      <c r="AB81" s="484"/>
      <c r="AC81" s="484"/>
      <c r="AD81" s="484"/>
      <c r="AE81" s="484"/>
      <c r="AF81" s="484"/>
      <c r="AG81" s="484"/>
      <c r="AH81" s="484"/>
      <c r="AI81" s="484"/>
      <c r="AJ81" s="484"/>
      <c r="AK81" s="484"/>
      <c r="AL81" s="484"/>
      <c r="AM81" s="484"/>
    </row>
    <row r="82" spans="1:39" ht="15.75" customHeight="1" x14ac:dyDescent="0.35">
      <c r="A82" s="484"/>
      <c r="B82" s="484"/>
      <c r="C82" s="484"/>
      <c r="D82" s="484"/>
      <c r="E82" s="484"/>
      <c r="F82" s="484"/>
      <c r="G82" s="484"/>
      <c r="H82" s="484"/>
      <c r="I82" s="1084"/>
      <c r="J82" s="484"/>
      <c r="K82" s="484"/>
      <c r="L82" s="484"/>
      <c r="M82" s="484"/>
      <c r="N82" s="484"/>
      <c r="O82" s="484"/>
      <c r="P82" s="484"/>
      <c r="Q82" s="484"/>
      <c r="R82" s="484"/>
      <c r="S82" s="484"/>
      <c r="T82" s="484"/>
      <c r="U82" s="484"/>
      <c r="V82" s="484"/>
      <c r="W82" s="484"/>
      <c r="X82" s="484"/>
      <c r="Y82" s="484"/>
      <c r="Z82" s="484"/>
      <c r="AA82" s="484"/>
      <c r="AB82" s="484"/>
      <c r="AC82" s="484"/>
      <c r="AD82" s="484"/>
      <c r="AE82" s="484"/>
      <c r="AF82" s="484"/>
      <c r="AG82" s="484"/>
      <c r="AH82" s="484"/>
      <c r="AI82" s="484"/>
      <c r="AJ82" s="484"/>
      <c r="AK82" s="484"/>
      <c r="AL82" s="484"/>
      <c r="AM82" s="484"/>
    </row>
    <row r="83" spans="1:39" ht="15.75" customHeight="1" x14ac:dyDescent="0.35">
      <c r="A83" s="484"/>
      <c r="B83" s="484"/>
      <c r="C83" s="484"/>
      <c r="D83" s="484"/>
      <c r="E83" s="484"/>
      <c r="F83" s="484"/>
      <c r="G83" s="484"/>
      <c r="H83" s="484"/>
      <c r="I83" s="1084"/>
      <c r="J83" s="484"/>
      <c r="K83" s="484"/>
      <c r="L83" s="484"/>
      <c r="M83" s="484"/>
      <c r="N83" s="484"/>
      <c r="O83" s="484"/>
      <c r="P83" s="484"/>
      <c r="Q83" s="484"/>
      <c r="R83" s="484"/>
      <c r="S83" s="484"/>
      <c r="T83" s="484"/>
      <c r="U83" s="484"/>
      <c r="V83" s="484"/>
      <c r="W83" s="484"/>
      <c r="X83" s="484"/>
      <c r="Y83" s="484"/>
      <c r="Z83" s="484"/>
      <c r="AA83" s="484"/>
      <c r="AB83" s="484"/>
      <c r="AC83" s="484"/>
      <c r="AD83" s="484"/>
      <c r="AE83" s="484"/>
      <c r="AF83" s="484"/>
      <c r="AG83" s="484"/>
      <c r="AH83" s="484"/>
      <c r="AI83" s="484"/>
      <c r="AJ83" s="484"/>
      <c r="AK83" s="484"/>
      <c r="AL83" s="484"/>
      <c r="AM83" s="484"/>
    </row>
    <row r="84" spans="1:39" ht="15.75" customHeight="1" x14ac:dyDescent="0.35">
      <c r="A84" s="484"/>
      <c r="B84" s="484"/>
      <c r="C84" s="484"/>
      <c r="D84" s="484"/>
      <c r="E84" s="484"/>
      <c r="F84" s="484"/>
      <c r="G84" s="484"/>
      <c r="H84" s="484"/>
      <c r="I84" s="1084"/>
      <c r="J84" s="484"/>
      <c r="K84" s="484"/>
      <c r="L84" s="484"/>
      <c r="M84" s="484"/>
      <c r="N84" s="484"/>
      <c r="O84" s="484"/>
      <c r="P84" s="484"/>
      <c r="Q84" s="484"/>
      <c r="R84" s="484"/>
      <c r="S84" s="484"/>
      <c r="T84" s="484"/>
      <c r="U84" s="484"/>
      <c r="V84" s="484"/>
      <c r="W84" s="484"/>
      <c r="X84" s="484"/>
      <c r="Y84" s="484"/>
      <c r="Z84" s="484"/>
      <c r="AA84" s="484"/>
      <c r="AB84" s="484"/>
      <c r="AC84" s="484"/>
      <c r="AD84" s="484"/>
      <c r="AE84" s="484"/>
      <c r="AF84" s="484"/>
      <c r="AG84" s="484"/>
      <c r="AH84" s="484"/>
      <c r="AI84" s="484"/>
      <c r="AJ84" s="484"/>
      <c r="AK84" s="484"/>
      <c r="AL84" s="484"/>
      <c r="AM84" s="484"/>
    </row>
    <row r="85" spans="1:39" ht="15.75" customHeight="1" x14ac:dyDescent="0.35">
      <c r="A85" s="484"/>
      <c r="B85" s="484"/>
      <c r="C85" s="484"/>
      <c r="D85" s="484"/>
      <c r="E85" s="484"/>
      <c r="F85" s="484"/>
      <c r="G85" s="484"/>
      <c r="H85" s="484"/>
      <c r="I85" s="1084"/>
      <c r="J85" s="484"/>
      <c r="K85" s="484"/>
      <c r="L85" s="484"/>
      <c r="M85" s="484"/>
      <c r="N85" s="484"/>
      <c r="O85" s="484"/>
      <c r="P85" s="484"/>
      <c r="Q85" s="484"/>
      <c r="R85" s="484"/>
      <c r="S85" s="484"/>
      <c r="T85" s="484"/>
      <c r="U85" s="484"/>
      <c r="V85" s="484"/>
      <c r="W85" s="484"/>
      <c r="X85" s="484"/>
      <c r="Y85" s="484"/>
      <c r="Z85" s="484"/>
      <c r="AA85" s="484"/>
      <c r="AB85" s="484"/>
      <c r="AC85" s="484"/>
      <c r="AD85" s="484"/>
      <c r="AE85" s="484"/>
      <c r="AF85" s="484"/>
      <c r="AG85" s="484"/>
      <c r="AH85" s="484"/>
      <c r="AI85" s="484"/>
      <c r="AJ85" s="484"/>
      <c r="AK85" s="484"/>
      <c r="AL85" s="484"/>
      <c r="AM85" s="484"/>
    </row>
    <row r="86" spans="1:39" ht="15.75" customHeight="1" x14ac:dyDescent="0.35">
      <c r="A86" s="484"/>
      <c r="B86" s="484"/>
      <c r="C86" s="484"/>
      <c r="D86" s="484"/>
      <c r="E86" s="484"/>
      <c r="F86" s="484"/>
      <c r="G86" s="484"/>
      <c r="H86" s="484"/>
      <c r="I86" s="1084"/>
      <c r="J86" s="484"/>
      <c r="K86" s="484"/>
      <c r="L86" s="484"/>
      <c r="M86" s="484"/>
      <c r="N86" s="484"/>
      <c r="O86" s="484"/>
      <c r="P86" s="484"/>
      <c r="Q86" s="484"/>
      <c r="R86" s="484"/>
      <c r="S86" s="484"/>
      <c r="T86" s="484"/>
      <c r="U86" s="484"/>
      <c r="V86" s="484"/>
      <c r="W86" s="484"/>
      <c r="X86" s="484"/>
      <c r="Y86" s="484"/>
      <c r="Z86" s="484"/>
      <c r="AA86" s="484"/>
      <c r="AB86" s="484"/>
      <c r="AC86" s="484"/>
      <c r="AD86" s="484"/>
      <c r="AE86" s="484"/>
      <c r="AF86" s="484"/>
      <c r="AG86" s="484"/>
      <c r="AH86" s="484"/>
      <c r="AI86" s="484"/>
      <c r="AJ86" s="484"/>
      <c r="AK86" s="484"/>
      <c r="AL86" s="484"/>
      <c r="AM86" s="484"/>
    </row>
    <row r="87" spans="1:39" ht="15.75" customHeight="1" x14ac:dyDescent="0.35">
      <c r="A87" s="484"/>
      <c r="B87" s="484"/>
      <c r="C87" s="484"/>
      <c r="D87" s="484"/>
      <c r="E87" s="484"/>
      <c r="F87" s="484"/>
      <c r="G87" s="484"/>
      <c r="H87" s="484"/>
      <c r="I87" s="1084"/>
      <c r="J87" s="484"/>
      <c r="K87" s="484"/>
      <c r="L87" s="484"/>
      <c r="M87" s="484"/>
      <c r="N87" s="484"/>
      <c r="O87" s="484"/>
      <c r="P87" s="484"/>
      <c r="Q87" s="484"/>
      <c r="R87" s="484"/>
      <c r="S87" s="484"/>
      <c r="T87" s="484"/>
      <c r="U87" s="484"/>
      <c r="V87" s="484"/>
      <c r="W87" s="484"/>
      <c r="X87" s="484"/>
      <c r="Y87" s="484"/>
      <c r="Z87" s="484"/>
      <c r="AA87" s="484"/>
      <c r="AB87" s="484"/>
      <c r="AC87" s="484"/>
      <c r="AD87" s="484"/>
      <c r="AE87" s="484"/>
      <c r="AF87" s="484"/>
      <c r="AG87" s="484"/>
      <c r="AH87" s="484"/>
      <c r="AI87" s="484"/>
      <c r="AJ87" s="484"/>
      <c r="AK87" s="484"/>
      <c r="AL87" s="484"/>
      <c r="AM87" s="484"/>
    </row>
    <row r="88" spans="1:39" ht="15.75" customHeight="1" x14ac:dyDescent="0.35">
      <c r="A88" s="484"/>
      <c r="B88" s="484"/>
      <c r="C88" s="484"/>
      <c r="D88" s="484"/>
      <c r="E88" s="484"/>
      <c r="F88" s="484"/>
      <c r="G88" s="484"/>
      <c r="H88" s="484"/>
      <c r="I88" s="1084"/>
      <c r="J88" s="484"/>
      <c r="K88" s="484"/>
      <c r="L88" s="484"/>
      <c r="M88" s="484"/>
      <c r="N88" s="484"/>
      <c r="O88" s="484"/>
      <c r="P88" s="484"/>
      <c r="Q88" s="484"/>
      <c r="R88" s="484"/>
      <c r="S88" s="484"/>
      <c r="T88" s="484"/>
      <c r="U88" s="484"/>
      <c r="V88" s="484"/>
      <c r="W88" s="484"/>
      <c r="X88" s="484"/>
      <c r="Y88" s="484"/>
      <c r="Z88" s="484"/>
      <c r="AA88" s="484"/>
      <c r="AB88" s="484"/>
      <c r="AC88" s="484"/>
      <c r="AD88" s="484"/>
      <c r="AE88" s="484"/>
      <c r="AF88" s="484"/>
      <c r="AG88" s="484"/>
      <c r="AH88" s="484"/>
      <c r="AI88" s="484"/>
      <c r="AJ88" s="484"/>
      <c r="AK88" s="484"/>
      <c r="AL88" s="484"/>
      <c r="AM88" s="484"/>
    </row>
    <row r="89" spans="1:39" ht="15.75" customHeight="1" x14ac:dyDescent="0.35">
      <c r="A89" s="484"/>
      <c r="B89" s="484"/>
      <c r="C89" s="484"/>
      <c r="D89" s="484"/>
      <c r="E89" s="484"/>
      <c r="F89" s="484"/>
      <c r="G89" s="484"/>
      <c r="H89" s="484"/>
      <c r="I89" s="1084"/>
      <c r="J89" s="484"/>
      <c r="K89" s="484"/>
      <c r="L89" s="484"/>
      <c r="M89" s="484"/>
      <c r="N89" s="484"/>
      <c r="O89" s="484"/>
      <c r="P89" s="484"/>
      <c r="Q89" s="484"/>
      <c r="R89" s="484"/>
      <c r="S89" s="484"/>
      <c r="T89" s="484"/>
      <c r="U89" s="484"/>
      <c r="V89" s="484"/>
      <c r="W89" s="484"/>
      <c r="X89" s="484"/>
      <c r="Y89" s="484"/>
      <c r="Z89" s="484"/>
      <c r="AA89" s="484"/>
      <c r="AB89" s="484"/>
      <c r="AC89" s="484"/>
      <c r="AD89" s="484"/>
      <c r="AE89" s="484"/>
      <c r="AF89" s="484"/>
      <c r="AG89" s="484"/>
      <c r="AH89" s="484"/>
      <c r="AI89" s="484"/>
      <c r="AJ89" s="484"/>
      <c r="AK89" s="484"/>
      <c r="AL89" s="484"/>
      <c r="AM89" s="484"/>
    </row>
    <row r="90" spans="1:39" ht="15.75" customHeight="1" x14ac:dyDescent="0.35">
      <c r="A90" s="484"/>
      <c r="B90" s="484"/>
      <c r="C90" s="484"/>
      <c r="D90" s="484"/>
      <c r="E90" s="484"/>
      <c r="F90" s="484"/>
      <c r="G90" s="484"/>
      <c r="H90" s="484"/>
      <c r="I90" s="1084"/>
      <c r="J90" s="484"/>
      <c r="K90" s="484"/>
      <c r="L90" s="484"/>
      <c r="M90" s="484"/>
      <c r="N90" s="484"/>
      <c r="O90" s="484"/>
      <c r="P90" s="484"/>
      <c r="Q90" s="484"/>
      <c r="R90" s="484"/>
      <c r="S90" s="484"/>
      <c r="T90" s="484"/>
      <c r="U90" s="484"/>
      <c r="V90" s="484"/>
      <c r="W90" s="484"/>
      <c r="X90" s="484"/>
      <c r="Y90" s="484"/>
      <c r="Z90" s="484"/>
      <c r="AA90" s="484"/>
      <c r="AB90" s="484"/>
      <c r="AC90" s="484"/>
      <c r="AD90" s="484"/>
      <c r="AE90" s="484"/>
      <c r="AF90" s="484"/>
      <c r="AG90" s="484"/>
      <c r="AH90" s="484"/>
      <c r="AI90" s="484"/>
      <c r="AJ90" s="484"/>
      <c r="AK90" s="484"/>
      <c r="AL90" s="484"/>
      <c r="AM90" s="484"/>
    </row>
    <row r="91" spans="1:39" ht="15.75" customHeight="1" x14ac:dyDescent="0.35">
      <c r="A91" s="484"/>
      <c r="B91" s="484"/>
      <c r="C91" s="484"/>
      <c r="D91" s="484"/>
      <c r="E91" s="484"/>
      <c r="F91" s="484"/>
      <c r="G91" s="484"/>
      <c r="H91" s="484"/>
      <c r="I91" s="1084"/>
      <c r="J91" s="484"/>
      <c r="K91" s="484"/>
      <c r="L91" s="484"/>
      <c r="M91" s="484"/>
      <c r="N91" s="484"/>
      <c r="O91" s="484"/>
      <c r="P91" s="484"/>
      <c r="Q91" s="484"/>
      <c r="R91" s="484"/>
      <c r="S91" s="484"/>
      <c r="T91" s="484"/>
      <c r="U91" s="484"/>
      <c r="V91" s="484"/>
      <c r="W91" s="484"/>
      <c r="X91" s="484"/>
      <c r="Y91" s="484"/>
      <c r="Z91" s="484"/>
      <c r="AA91" s="484"/>
      <c r="AB91" s="484"/>
      <c r="AC91" s="484"/>
      <c r="AD91" s="484"/>
      <c r="AE91" s="484"/>
      <c r="AF91" s="484"/>
      <c r="AG91" s="484"/>
      <c r="AH91" s="484"/>
      <c r="AI91" s="484"/>
      <c r="AJ91" s="484"/>
      <c r="AK91" s="484"/>
      <c r="AL91" s="484"/>
      <c r="AM91" s="484"/>
    </row>
    <row r="92" spans="1:39" ht="15.75" customHeight="1" x14ac:dyDescent="0.35">
      <c r="A92" s="484"/>
      <c r="B92" s="484"/>
      <c r="C92" s="484"/>
      <c r="D92" s="484"/>
      <c r="E92" s="484"/>
      <c r="F92" s="484"/>
      <c r="G92" s="484"/>
      <c r="H92" s="484"/>
      <c r="I92" s="1084"/>
      <c r="J92" s="484"/>
      <c r="K92" s="484"/>
      <c r="L92" s="484"/>
      <c r="M92" s="484"/>
      <c r="N92" s="484"/>
      <c r="O92" s="484"/>
      <c r="P92" s="484"/>
      <c r="Q92" s="484"/>
      <c r="R92" s="484"/>
      <c r="S92" s="484"/>
      <c r="T92" s="484"/>
      <c r="U92" s="484"/>
      <c r="V92" s="484"/>
      <c r="W92" s="484"/>
      <c r="X92" s="484"/>
      <c r="Y92" s="484"/>
      <c r="Z92" s="484"/>
      <c r="AA92" s="484"/>
      <c r="AB92" s="484"/>
      <c r="AC92" s="484"/>
      <c r="AD92" s="484"/>
      <c r="AE92" s="484"/>
      <c r="AF92" s="484"/>
      <c r="AG92" s="484"/>
      <c r="AH92" s="484"/>
      <c r="AI92" s="484"/>
      <c r="AJ92" s="484"/>
      <c r="AK92" s="484"/>
      <c r="AL92" s="484"/>
      <c r="AM92" s="484"/>
    </row>
    <row r="93" spans="1:39" ht="15.75" customHeight="1" x14ac:dyDescent="0.35">
      <c r="A93" s="484"/>
      <c r="B93" s="484"/>
      <c r="C93" s="484"/>
      <c r="D93" s="484"/>
      <c r="E93" s="484"/>
      <c r="F93" s="484"/>
      <c r="G93" s="484"/>
      <c r="H93" s="484"/>
      <c r="I93" s="1084"/>
      <c r="J93" s="484"/>
      <c r="K93" s="484"/>
      <c r="L93" s="484"/>
      <c r="M93" s="484"/>
      <c r="N93" s="484"/>
      <c r="O93" s="484"/>
      <c r="P93" s="484"/>
      <c r="Q93" s="484"/>
      <c r="R93" s="484"/>
      <c r="S93" s="484"/>
      <c r="T93" s="484"/>
      <c r="U93" s="484"/>
      <c r="V93" s="484"/>
      <c r="W93" s="484"/>
      <c r="X93" s="484"/>
      <c r="Y93" s="484"/>
      <c r="Z93" s="484"/>
      <c r="AA93" s="484"/>
      <c r="AB93" s="484"/>
      <c r="AC93" s="484"/>
      <c r="AD93" s="484"/>
      <c r="AE93" s="484"/>
      <c r="AF93" s="484"/>
      <c r="AG93" s="484"/>
      <c r="AH93" s="484"/>
      <c r="AI93" s="484"/>
      <c r="AJ93" s="484"/>
      <c r="AK93" s="484"/>
      <c r="AL93" s="484"/>
      <c r="AM93" s="484"/>
    </row>
    <row r="94" spans="1:39" ht="15.75" customHeight="1" x14ac:dyDescent="0.35">
      <c r="A94" s="484"/>
      <c r="B94" s="484"/>
      <c r="C94" s="484"/>
      <c r="D94" s="484"/>
      <c r="E94" s="484"/>
      <c r="F94" s="484"/>
      <c r="G94" s="484"/>
      <c r="H94" s="484"/>
      <c r="I94" s="1084"/>
      <c r="J94" s="484"/>
      <c r="K94" s="484"/>
      <c r="L94" s="484"/>
      <c r="M94" s="484"/>
      <c r="N94" s="484"/>
      <c r="O94" s="484"/>
      <c r="P94" s="484"/>
      <c r="Q94" s="484"/>
      <c r="R94" s="484"/>
      <c r="S94" s="484"/>
      <c r="T94" s="484"/>
      <c r="U94" s="484"/>
      <c r="V94" s="484"/>
      <c r="W94" s="484"/>
      <c r="X94" s="484"/>
      <c r="Y94" s="484"/>
      <c r="Z94" s="484"/>
      <c r="AA94" s="484"/>
      <c r="AB94" s="484"/>
      <c r="AC94" s="484"/>
      <c r="AD94" s="484"/>
      <c r="AE94" s="484"/>
      <c r="AF94" s="484"/>
      <c r="AG94" s="484"/>
      <c r="AH94" s="484"/>
      <c r="AI94" s="484"/>
      <c r="AJ94" s="484"/>
      <c r="AK94" s="484"/>
      <c r="AL94" s="484"/>
      <c r="AM94" s="484"/>
    </row>
    <row r="95" spans="1:39" ht="15.75" customHeight="1" x14ac:dyDescent="0.35">
      <c r="A95" s="484"/>
      <c r="B95" s="484"/>
      <c r="C95" s="484"/>
      <c r="D95" s="484"/>
      <c r="E95" s="484"/>
      <c r="F95" s="484"/>
      <c r="G95" s="484"/>
      <c r="H95" s="484"/>
      <c r="I95" s="1084"/>
      <c r="J95" s="484"/>
      <c r="K95" s="484"/>
      <c r="L95" s="484"/>
      <c r="M95" s="484"/>
      <c r="N95" s="484"/>
      <c r="O95" s="484"/>
      <c r="P95" s="484"/>
      <c r="Q95" s="484"/>
      <c r="R95" s="484"/>
      <c r="S95" s="484"/>
      <c r="T95" s="484"/>
      <c r="U95" s="484"/>
      <c r="V95" s="484"/>
      <c r="W95" s="484"/>
      <c r="X95" s="484"/>
      <c r="Y95" s="484"/>
      <c r="Z95" s="484"/>
      <c r="AA95" s="484"/>
      <c r="AB95" s="484"/>
      <c r="AC95" s="484"/>
      <c r="AD95" s="484"/>
      <c r="AE95" s="484"/>
      <c r="AF95" s="484"/>
      <c r="AG95" s="484"/>
      <c r="AH95" s="484"/>
      <c r="AI95" s="484"/>
      <c r="AJ95" s="484"/>
      <c r="AK95" s="484"/>
      <c r="AL95" s="484"/>
      <c r="AM95" s="484"/>
    </row>
    <row r="96" spans="1:39" ht="15.75" customHeight="1" x14ac:dyDescent="0.35">
      <c r="A96" s="484"/>
      <c r="B96" s="484"/>
      <c r="C96" s="484"/>
      <c r="D96" s="484"/>
      <c r="E96" s="484"/>
      <c r="F96" s="484"/>
      <c r="G96" s="484"/>
      <c r="H96" s="484"/>
      <c r="I96" s="1084"/>
      <c r="J96" s="484"/>
      <c r="K96" s="484"/>
      <c r="L96" s="484"/>
      <c r="M96" s="484"/>
      <c r="N96" s="484"/>
      <c r="O96" s="484"/>
      <c r="P96" s="484"/>
      <c r="Q96" s="484"/>
      <c r="R96" s="484"/>
      <c r="S96" s="484"/>
      <c r="T96" s="484"/>
      <c r="U96" s="484"/>
      <c r="V96" s="484"/>
      <c r="W96" s="484"/>
      <c r="X96" s="484"/>
      <c r="Y96" s="484"/>
      <c r="Z96" s="484"/>
      <c r="AA96" s="484"/>
      <c r="AB96" s="484"/>
      <c r="AC96" s="484"/>
      <c r="AD96" s="484"/>
      <c r="AE96" s="484"/>
      <c r="AF96" s="484"/>
      <c r="AG96" s="484"/>
      <c r="AH96" s="484"/>
      <c r="AI96" s="484"/>
      <c r="AJ96" s="484"/>
      <c r="AK96" s="484"/>
      <c r="AL96" s="484"/>
      <c r="AM96" s="484"/>
    </row>
    <row r="97" spans="1:39" ht="15.75" customHeight="1" x14ac:dyDescent="0.35">
      <c r="A97" s="484"/>
      <c r="B97" s="484"/>
      <c r="C97" s="484"/>
      <c r="D97" s="484"/>
      <c r="E97" s="484"/>
      <c r="F97" s="484"/>
      <c r="G97" s="484"/>
      <c r="H97" s="484"/>
      <c r="I97" s="1084"/>
      <c r="J97" s="484"/>
      <c r="K97" s="484"/>
      <c r="L97" s="484"/>
      <c r="M97" s="484"/>
      <c r="N97" s="484"/>
      <c r="O97" s="484"/>
      <c r="P97" s="484"/>
      <c r="Q97" s="484"/>
      <c r="R97" s="484"/>
      <c r="S97" s="484"/>
      <c r="T97" s="484"/>
      <c r="U97" s="484"/>
      <c r="V97" s="484"/>
      <c r="W97" s="484"/>
      <c r="X97" s="484"/>
      <c r="Y97" s="484"/>
      <c r="Z97" s="484"/>
      <c r="AA97" s="484"/>
      <c r="AB97" s="484"/>
      <c r="AC97" s="484"/>
      <c r="AD97" s="484"/>
      <c r="AE97" s="484"/>
      <c r="AF97" s="484"/>
      <c r="AG97" s="484"/>
      <c r="AH97" s="484"/>
      <c r="AI97" s="484"/>
      <c r="AJ97" s="484"/>
      <c r="AK97" s="484"/>
      <c r="AL97" s="484"/>
      <c r="AM97" s="484"/>
    </row>
    <row r="98" spans="1:39" ht="15.75" customHeight="1" x14ac:dyDescent="0.35">
      <c r="A98" s="484"/>
      <c r="B98" s="484"/>
      <c r="C98" s="484"/>
      <c r="D98" s="484"/>
      <c r="E98" s="484"/>
      <c r="F98" s="484"/>
      <c r="G98" s="484"/>
      <c r="H98" s="484"/>
      <c r="I98" s="1084"/>
      <c r="J98" s="484"/>
      <c r="K98" s="484"/>
      <c r="L98" s="484"/>
      <c r="M98" s="484"/>
      <c r="N98" s="484"/>
      <c r="O98" s="484"/>
      <c r="P98" s="484"/>
      <c r="Q98" s="484"/>
      <c r="R98" s="484"/>
      <c r="S98" s="484"/>
      <c r="T98" s="484"/>
      <c r="U98" s="484"/>
      <c r="V98" s="484"/>
      <c r="W98" s="484"/>
      <c r="X98" s="484"/>
      <c r="Y98" s="484"/>
      <c r="Z98" s="484"/>
      <c r="AA98" s="484"/>
      <c r="AB98" s="484"/>
      <c r="AC98" s="484"/>
      <c r="AD98" s="484"/>
      <c r="AE98" s="484"/>
      <c r="AF98" s="484"/>
      <c r="AG98" s="484"/>
      <c r="AH98" s="484"/>
      <c r="AI98" s="484"/>
      <c r="AJ98" s="484"/>
      <c r="AK98" s="484"/>
      <c r="AL98" s="484"/>
      <c r="AM98" s="484"/>
    </row>
    <row r="99" spans="1:39" ht="15.75" customHeight="1" x14ac:dyDescent="0.35">
      <c r="A99" s="484"/>
      <c r="B99" s="484"/>
      <c r="C99" s="484"/>
      <c r="D99" s="484"/>
      <c r="E99" s="484"/>
      <c r="F99" s="484"/>
      <c r="G99" s="484"/>
      <c r="H99" s="484"/>
      <c r="I99" s="1084"/>
      <c r="J99" s="484"/>
      <c r="K99" s="484"/>
      <c r="L99" s="484"/>
      <c r="M99" s="484"/>
      <c r="N99" s="484"/>
      <c r="O99" s="484"/>
      <c r="P99" s="484"/>
      <c r="Q99" s="484"/>
      <c r="R99" s="484"/>
      <c r="S99" s="484"/>
      <c r="T99" s="484"/>
      <c r="U99" s="484"/>
      <c r="V99" s="484"/>
      <c r="W99" s="484"/>
      <c r="X99" s="484"/>
      <c r="Y99" s="484"/>
      <c r="Z99" s="484"/>
      <c r="AA99" s="484"/>
      <c r="AB99" s="484"/>
      <c r="AC99" s="484"/>
      <c r="AD99" s="484"/>
      <c r="AE99" s="484"/>
      <c r="AF99" s="484"/>
      <c r="AG99" s="484"/>
      <c r="AH99" s="484"/>
      <c r="AI99" s="484"/>
      <c r="AJ99" s="484"/>
      <c r="AK99" s="484"/>
      <c r="AL99" s="484"/>
      <c r="AM99" s="484"/>
    </row>
    <row r="100" spans="1:39" ht="15.75" customHeight="1" x14ac:dyDescent="0.35">
      <c r="A100" s="484"/>
      <c r="B100" s="484"/>
      <c r="C100" s="484"/>
      <c r="D100" s="484"/>
      <c r="E100" s="484"/>
      <c r="F100" s="484"/>
      <c r="G100" s="484"/>
      <c r="H100" s="484"/>
      <c r="I100" s="1084"/>
      <c r="J100" s="484"/>
      <c r="K100" s="484"/>
      <c r="L100" s="484"/>
      <c r="M100" s="484"/>
      <c r="N100" s="484"/>
      <c r="O100" s="484"/>
      <c r="P100" s="484"/>
      <c r="Q100" s="484"/>
      <c r="R100" s="484"/>
      <c r="S100" s="484"/>
      <c r="T100" s="484"/>
      <c r="U100" s="484"/>
      <c r="V100" s="484"/>
      <c r="W100" s="484"/>
      <c r="X100" s="484"/>
      <c r="Y100" s="484"/>
      <c r="Z100" s="484"/>
      <c r="AA100" s="484"/>
      <c r="AB100" s="484"/>
      <c r="AC100" s="484"/>
      <c r="AD100" s="484"/>
      <c r="AE100" s="484"/>
      <c r="AF100" s="484"/>
      <c r="AG100" s="484"/>
      <c r="AH100" s="484"/>
      <c r="AI100" s="484"/>
      <c r="AJ100" s="484"/>
      <c r="AK100" s="484"/>
      <c r="AL100" s="484"/>
      <c r="AM100" s="484"/>
    </row>
    <row r="101" spans="1:39" ht="15.75" customHeight="1" x14ac:dyDescent="0.35">
      <c r="A101" s="484"/>
      <c r="B101" s="484"/>
      <c r="C101" s="484"/>
      <c r="D101" s="484"/>
      <c r="E101" s="484"/>
      <c r="F101" s="484"/>
      <c r="G101" s="484"/>
      <c r="H101" s="484"/>
      <c r="I101" s="1084"/>
      <c r="J101" s="484"/>
      <c r="K101" s="484"/>
      <c r="L101" s="484"/>
      <c r="M101" s="484"/>
      <c r="N101" s="484"/>
      <c r="O101" s="484"/>
      <c r="P101" s="484"/>
      <c r="Q101" s="484"/>
      <c r="R101" s="484"/>
      <c r="S101" s="484"/>
      <c r="T101" s="484"/>
      <c r="U101" s="484"/>
      <c r="V101" s="484"/>
      <c r="W101" s="484"/>
      <c r="X101" s="484"/>
      <c r="Y101" s="484"/>
      <c r="Z101" s="484"/>
      <c r="AA101" s="484"/>
      <c r="AB101" s="484"/>
      <c r="AC101" s="484"/>
      <c r="AD101" s="484"/>
      <c r="AE101" s="484"/>
      <c r="AF101" s="484"/>
      <c r="AG101" s="484"/>
      <c r="AH101" s="484"/>
      <c r="AI101" s="484"/>
      <c r="AJ101" s="484"/>
      <c r="AK101" s="484"/>
      <c r="AL101" s="484"/>
      <c r="AM101" s="484"/>
    </row>
    <row r="102" spans="1:39" ht="15.75" customHeight="1" x14ac:dyDescent="0.35">
      <c r="A102" s="484"/>
      <c r="B102" s="484"/>
      <c r="C102" s="484"/>
      <c r="D102" s="484"/>
      <c r="E102" s="484"/>
      <c r="F102" s="484"/>
      <c r="G102" s="484"/>
      <c r="H102" s="484"/>
      <c r="I102" s="1084"/>
      <c r="J102" s="484"/>
      <c r="K102" s="484"/>
      <c r="L102" s="484"/>
      <c r="M102" s="484"/>
      <c r="N102" s="484"/>
      <c r="O102" s="484"/>
      <c r="P102" s="484"/>
      <c r="Q102" s="484"/>
      <c r="R102" s="484"/>
      <c r="S102" s="484"/>
      <c r="T102" s="484"/>
      <c r="U102" s="484"/>
      <c r="V102" s="484"/>
      <c r="W102" s="484"/>
      <c r="X102" s="484"/>
      <c r="Y102" s="484"/>
      <c r="Z102" s="484"/>
      <c r="AA102" s="484"/>
      <c r="AB102" s="484"/>
      <c r="AC102" s="484"/>
      <c r="AD102" s="484"/>
      <c r="AE102" s="484"/>
      <c r="AF102" s="484"/>
      <c r="AG102" s="484"/>
      <c r="AH102" s="484"/>
      <c r="AI102" s="484"/>
      <c r="AJ102" s="484"/>
      <c r="AK102" s="484"/>
      <c r="AL102" s="484"/>
      <c r="AM102" s="484"/>
    </row>
    <row r="103" spans="1:39" ht="15.75" customHeight="1" x14ac:dyDescent="0.35">
      <c r="A103" s="484"/>
      <c r="B103" s="484"/>
      <c r="C103" s="484"/>
      <c r="D103" s="484"/>
      <c r="E103" s="484"/>
      <c r="F103" s="484"/>
      <c r="G103" s="484"/>
      <c r="H103" s="484"/>
      <c r="I103" s="1084"/>
      <c r="J103" s="484"/>
      <c r="K103" s="484"/>
      <c r="L103" s="484"/>
      <c r="M103" s="484"/>
      <c r="N103" s="484"/>
      <c r="O103" s="484"/>
      <c r="P103" s="484"/>
      <c r="Q103" s="484"/>
      <c r="R103" s="484"/>
      <c r="S103" s="484"/>
      <c r="T103" s="484"/>
      <c r="U103" s="484"/>
      <c r="V103" s="484"/>
      <c r="W103" s="484"/>
      <c r="X103" s="484"/>
      <c r="Y103" s="484"/>
      <c r="Z103" s="484"/>
      <c r="AA103" s="484"/>
      <c r="AB103" s="484"/>
      <c r="AC103" s="484"/>
      <c r="AD103" s="484"/>
      <c r="AE103" s="484"/>
      <c r="AF103" s="484"/>
      <c r="AG103" s="484"/>
      <c r="AH103" s="484"/>
      <c r="AI103" s="484"/>
      <c r="AJ103" s="484"/>
      <c r="AK103" s="484"/>
      <c r="AL103" s="484"/>
      <c r="AM103" s="484"/>
    </row>
    <row r="104" spans="1:39" ht="15.75" customHeight="1" x14ac:dyDescent="0.35">
      <c r="A104" s="484"/>
      <c r="B104" s="484"/>
      <c r="C104" s="484"/>
      <c r="D104" s="484"/>
      <c r="E104" s="484"/>
      <c r="F104" s="484"/>
      <c r="G104" s="484"/>
      <c r="H104" s="484"/>
      <c r="I104" s="1084"/>
      <c r="J104" s="484"/>
      <c r="K104" s="484"/>
      <c r="L104" s="484"/>
      <c r="M104" s="484"/>
      <c r="N104" s="484"/>
      <c r="O104" s="484"/>
      <c r="P104" s="484"/>
      <c r="Q104" s="484"/>
      <c r="R104" s="484"/>
      <c r="S104" s="484"/>
      <c r="T104" s="484"/>
      <c r="U104" s="484"/>
      <c r="V104" s="484"/>
      <c r="W104" s="484"/>
      <c r="X104" s="484"/>
      <c r="Y104" s="484"/>
      <c r="Z104" s="484"/>
      <c r="AA104" s="484"/>
      <c r="AB104" s="484"/>
      <c r="AC104" s="484"/>
      <c r="AD104" s="484"/>
      <c r="AE104" s="484"/>
      <c r="AF104" s="484"/>
      <c r="AG104" s="484"/>
      <c r="AH104" s="484"/>
      <c r="AI104" s="484"/>
      <c r="AJ104" s="484"/>
      <c r="AK104" s="484"/>
      <c r="AL104" s="484"/>
      <c r="AM104" s="484"/>
    </row>
    <row r="105" spans="1:39" ht="15.75" customHeight="1" x14ac:dyDescent="0.35">
      <c r="A105" s="484"/>
      <c r="B105" s="484"/>
      <c r="C105" s="484"/>
      <c r="D105" s="484"/>
      <c r="E105" s="484"/>
      <c r="F105" s="484"/>
      <c r="G105" s="484"/>
      <c r="H105" s="484"/>
      <c r="I105" s="1084"/>
      <c r="J105" s="484"/>
      <c r="K105" s="484"/>
      <c r="L105" s="484"/>
      <c r="M105" s="484"/>
      <c r="N105" s="484"/>
      <c r="O105" s="484"/>
      <c r="P105" s="484"/>
      <c r="Q105" s="484"/>
      <c r="R105" s="484"/>
      <c r="S105" s="484"/>
      <c r="T105" s="484"/>
      <c r="U105" s="484"/>
      <c r="V105" s="484"/>
      <c r="W105" s="484"/>
      <c r="X105" s="484"/>
      <c r="Y105" s="484"/>
      <c r="Z105" s="484"/>
      <c r="AA105" s="484"/>
      <c r="AB105" s="484"/>
      <c r="AC105" s="484"/>
      <c r="AD105" s="484"/>
      <c r="AE105" s="484"/>
      <c r="AF105" s="484"/>
      <c r="AG105" s="484"/>
      <c r="AH105" s="484"/>
      <c r="AI105" s="484"/>
      <c r="AJ105" s="484"/>
      <c r="AK105" s="484"/>
      <c r="AL105" s="484"/>
      <c r="AM105" s="484"/>
    </row>
    <row r="106" spans="1:39" ht="15.75" customHeight="1" x14ac:dyDescent="0.35">
      <c r="A106" s="484"/>
      <c r="B106" s="484"/>
      <c r="C106" s="484"/>
      <c r="D106" s="484"/>
      <c r="E106" s="484"/>
      <c r="F106" s="484"/>
      <c r="G106" s="484"/>
      <c r="H106" s="484"/>
      <c r="I106" s="1084"/>
      <c r="J106" s="484"/>
      <c r="K106" s="484"/>
      <c r="L106" s="484"/>
      <c r="M106" s="484"/>
      <c r="N106" s="484"/>
      <c r="O106" s="484"/>
      <c r="P106" s="484"/>
      <c r="Q106" s="484"/>
      <c r="R106" s="484"/>
      <c r="S106" s="484"/>
      <c r="T106" s="484"/>
      <c r="U106" s="484"/>
      <c r="V106" s="484"/>
      <c r="W106" s="484"/>
      <c r="X106" s="484"/>
      <c r="Y106" s="484"/>
      <c r="Z106" s="484"/>
      <c r="AA106" s="484"/>
      <c r="AB106" s="484"/>
      <c r="AC106" s="484"/>
      <c r="AD106" s="484"/>
      <c r="AE106" s="484"/>
      <c r="AF106" s="484"/>
      <c r="AG106" s="484"/>
      <c r="AH106" s="484"/>
      <c r="AI106" s="484"/>
      <c r="AJ106" s="484"/>
      <c r="AK106" s="484"/>
      <c r="AL106" s="484"/>
      <c r="AM106" s="484"/>
    </row>
    <row r="107" spans="1:39" ht="15.75" customHeight="1" x14ac:dyDescent="0.35">
      <c r="A107" s="484"/>
      <c r="B107" s="484"/>
      <c r="C107" s="484"/>
      <c r="D107" s="484"/>
      <c r="E107" s="484"/>
      <c r="F107" s="484"/>
      <c r="G107" s="484"/>
      <c r="H107" s="484"/>
      <c r="I107" s="1084"/>
      <c r="J107" s="484"/>
      <c r="K107" s="484"/>
      <c r="L107" s="484"/>
      <c r="M107" s="484"/>
      <c r="N107" s="484"/>
      <c r="O107" s="484"/>
      <c r="P107" s="484"/>
      <c r="Q107" s="484"/>
      <c r="R107" s="484"/>
      <c r="S107" s="484"/>
      <c r="T107" s="484"/>
      <c r="U107" s="484"/>
      <c r="V107" s="484"/>
      <c r="W107" s="484"/>
      <c r="X107" s="484"/>
      <c r="Y107" s="484"/>
      <c r="Z107" s="484"/>
      <c r="AA107" s="484"/>
      <c r="AB107" s="484"/>
      <c r="AC107" s="484"/>
      <c r="AD107" s="484"/>
      <c r="AE107" s="484"/>
      <c r="AF107" s="484"/>
      <c r="AG107" s="484"/>
      <c r="AH107" s="484"/>
      <c r="AI107" s="484"/>
      <c r="AJ107" s="484"/>
      <c r="AK107" s="484"/>
      <c r="AL107" s="484"/>
      <c r="AM107" s="484"/>
    </row>
    <row r="108" spans="1:39" ht="15.75" customHeight="1" x14ac:dyDescent="0.35">
      <c r="A108" s="484"/>
      <c r="B108" s="484"/>
      <c r="C108" s="484"/>
      <c r="D108" s="484"/>
      <c r="E108" s="484"/>
      <c r="F108" s="484"/>
      <c r="G108" s="484"/>
      <c r="H108" s="484"/>
      <c r="I108" s="1084"/>
      <c r="J108" s="484"/>
      <c r="K108" s="484"/>
      <c r="L108" s="484"/>
      <c r="M108" s="484"/>
      <c r="N108" s="484"/>
      <c r="O108" s="484"/>
      <c r="P108" s="484"/>
      <c r="Q108" s="484"/>
      <c r="R108" s="484"/>
      <c r="S108" s="484"/>
      <c r="T108" s="484"/>
      <c r="U108" s="484"/>
      <c r="V108" s="484"/>
      <c r="W108" s="484"/>
      <c r="X108" s="484"/>
      <c r="Y108" s="484"/>
      <c r="Z108" s="484"/>
      <c r="AA108" s="484"/>
      <c r="AB108" s="484"/>
      <c r="AC108" s="484"/>
      <c r="AD108" s="484"/>
      <c r="AE108" s="484"/>
      <c r="AF108" s="484"/>
      <c r="AG108" s="484"/>
      <c r="AH108" s="484"/>
      <c r="AI108" s="484"/>
      <c r="AJ108" s="484"/>
      <c r="AK108" s="484"/>
      <c r="AL108" s="484"/>
      <c r="AM108" s="484"/>
    </row>
    <row r="109" spans="1:39" ht="15.75" customHeight="1" x14ac:dyDescent="0.35">
      <c r="A109" s="484"/>
      <c r="B109" s="484"/>
      <c r="C109" s="484"/>
      <c r="D109" s="484"/>
      <c r="E109" s="484"/>
      <c r="F109" s="484"/>
      <c r="G109" s="484"/>
      <c r="H109" s="484"/>
      <c r="I109" s="1084"/>
      <c r="J109" s="484"/>
      <c r="K109" s="484"/>
      <c r="L109" s="484"/>
      <c r="M109" s="484"/>
      <c r="N109" s="484"/>
      <c r="O109" s="484"/>
      <c r="P109" s="484"/>
      <c r="Q109" s="484"/>
      <c r="R109" s="484"/>
      <c r="S109" s="484"/>
      <c r="T109" s="484"/>
      <c r="U109" s="484"/>
      <c r="V109" s="484"/>
      <c r="W109" s="484"/>
      <c r="X109" s="484"/>
      <c r="Y109" s="484"/>
      <c r="Z109" s="484"/>
      <c r="AA109" s="484"/>
      <c r="AB109" s="484"/>
      <c r="AC109" s="484"/>
      <c r="AD109" s="484"/>
      <c r="AE109" s="484"/>
      <c r="AF109" s="484"/>
      <c r="AG109" s="484"/>
      <c r="AH109" s="484"/>
      <c r="AI109" s="484"/>
      <c r="AJ109" s="484"/>
      <c r="AK109" s="484"/>
      <c r="AL109" s="484"/>
      <c r="AM109" s="484"/>
    </row>
    <row r="110" spans="1:39" ht="15.75" customHeight="1" x14ac:dyDescent="0.35">
      <c r="A110" s="484"/>
      <c r="B110" s="484"/>
      <c r="C110" s="484"/>
      <c r="D110" s="484"/>
      <c r="E110" s="484"/>
      <c r="F110" s="484"/>
      <c r="G110" s="484"/>
      <c r="H110" s="484"/>
      <c r="I110" s="1084"/>
      <c r="J110" s="484"/>
      <c r="K110" s="484"/>
      <c r="L110" s="484"/>
      <c r="M110" s="484"/>
      <c r="N110" s="484"/>
      <c r="O110" s="484"/>
      <c r="P110" s="484"/>
      <c r="Q110" s="484"/>
      <c r="R110" s="484"/>
      <c r="S110" s="484"/>
      <c r="T110" s="484"/>
      <c r="U110" s="484"/>
      <c r="V110" s="484"/>
      <c r="W110" s="484"/>
      <c r="X110" s="484"/>
      <c r="Y110" s="484"/>
      <c r="Z110" s="484"/>
      <c r="AA110" s="484"/>
      <c r="AB110" s="484"/>
      <c r="AC110" s="484"/>
      <c r="AD110" s="484"/>
      <c r="AE110" s="484"/>
      <c r="AF110" s="484"/>
      <c r="AG110" s="484"/>
      <c r="AH110" s="484"/>
      <c r="AI110" s="484"/>
      <c r="AJ110" s="484"/>
      <c r="AK110" s="484"/>
      <c r="AL110" s="484"/>
      <c r="AM110" s="484"/>
    </row>
    <row r="111" spans="1:39" ht="15.75" customHeight="1" x14ac:dyDescent="0.35">
      <c r="A111" s="484"/>
      <c r="B111" s="484"/>
      <c r="C111" s="484"/>
      <c r="D111" s="484"/>
      <c r="E111" s="484"/>
      <c r="F111" s="484"/>
      <c r="G111" s="484"/>
      <c r="H111" s="484"/>
      <c r="I111" s="1084"/>
      <c r="J111" s="484"/>
      <c r="K111" s="484"/>
      <c r="L111" s="484"/>
      <c r="M111" s="484"/>
      <c r="N111" s="484"/>
      <c r="O111" s="484"/>
      <c r="P111" s="484"/>
      <c r="Q111" s="484"/>
      <c r="R111" s="484"/>
      <c r="S111" s="484"/>
      <c r="T111" s="484"/>
      <c r="U111" s="484"/>
      <c r="V111" s="484"/>
      <c r="W111" s="484"/>
      <c r="X111" s="484"/>
      <c r="Y111" s="484"/>
      <c r="Z111" s="484"/>
      <c r="AA111" s="484"/>
      <c r="AB111" s="484"/>
      <c r="AC111" s="484"/>
      <c r="AD111" s="484"/>
      <c r="AE111" s="484"/>
      <c r="AF111" s="484"/>
      <c r="AG111" s="484"/>
      <c r="AH111" s="484"/>
      <c r="AI111" s="484"/>
      <c r="AJ111" s="484"/>
      <c r="AK111" s="484"/>
      <c r="AL111" s="484"/>
      <c r="AM111" s="484"/>
    </row>
    <row r="112" spans="1:39" ht="15.75" customHeight="1" x14ac:dyDescent="0.35">
      <c r="A112" s="484"/>
      <c r="B112" s="484"/>
      <c r="C112" s="484"/>
      <c r="D112" s="484"/>
      <c r="E112" s="484"/>
      <c r="F112" s="484"/>
      <c r="G112" s="484"/>
      <c r="H112" s="484"/>
      <c r="I112" s="1084"/>
      <c r="J112" s="484"/>
      <c r="K112" s="484"/>
      <c r="L112" s="484"/>
      <c r="M112" s="484"/>
      <c r="N112" s="484"/>
      <c r="O112" s="484"/>
      <c r="P112" s="484"/>
      <c r="Q112" s="484"/>
      <c r="R112" s="484"/>
      <c r="S112" s="484"/>
      <c r="T112" s="484"/>
      <c r="U112" s="484"/>
      <c r="V112" s="484"/>
      <c r="W112" s="484"/>
      <c r="X112" s="484"/>
      <c r="Y112" s="484"/>
      <c r="Z112" s="484"/>
      <c r="AA112" s="484"/>
      <c r="AB112" s="484"/>
      <c r="AC112" s="484"/>
      <c r="AD112" s="484"/>
      <c r="AE112" s="484"/>
      <c r="AF112" s="484"/>
      <c r="AG112" s="484"/>
      <c r="AH112" s="484"/>
      <c r="AI112" s="484"/>
      <c r="AJ112" s="484"/>
      <c r="AK112" s="484"/>
      <c r="AL112" s="484"/>
      <c r="AM112" s="484"/>
    </row>
    <row r="113" spans="1:39" ht="15.75" customHeight="1" x14ac:dyDescent="0.35">
      <c r="A113" s="484"/>
      <c r="B113" s="484"/>
      <c r="C113" s="484"/>
      <c r="D113" s="484"/>
      <c r="E113" s="484"/>
      <c r="F113" s="484"/>
      <c r="G113" s="484"/>
      <c r="H113" s="484"/>
      <c r="I113" s="1084"/>
      <c r="J113" s="484"/>
      <c r="K113" s="484"/>
      <c r="L113" s="484"/>
      <c r="M113" s="484"/>
      <c r="N113" s="484"/>
      <c r="O113" s="484"/>
      <c r="P113" s="484"/>
      <c r="Q113" s="484"/>
      <c r="R113" s="484"/>
      <c r="S113" s="484"/>
      <c r="T113" s="484"/>
      <c r="U113" s="484"/>
      <c r="V113" s="484"/>
      <c r="W113" s="484"/>
      <c r="X113" s="484"/>
      <c r="Y113" s="484"/>
      <c r="Z113" s="484"/>
      <c r="AA113" s="484"/>
      <c r="AB113" s="484"/>
      <c r="AC113" s="484"/>
      <c r="AD113" s="484"/>
      <c r="AE113" s="484"/>
      <c r="AF113" s="484"/>
      <c r="AG113" s="484"/>
      <c r="AH113" s="484"/>
      <c r="AI113" s="484"/>
      <c r="AJ113" s="484"/>
      <c r="AK113" s="484"/>
      <c r="AL113" s="484"/>
      <c r="AM113" s="484"/>
    </row>
    <row r="114" spans="1:39" ht="15.75" customHeight="1" x14ac:dyDescent="0.35">
      <c r="A114" s="484"/>
      <c r="B114" s="484"/>
      <c r="C114" s="484"/>
      <c r="D114" s="484"/>
      <c r="E114" s="484"/>
      <c r="F114" s="484"/>
      <c r="G114" s="484"/>
      <c r="H114" s="484"/>
      <c r="I114" s="1084"/>
      <c r="J114" s="484"/>
      <c r="K114" s="484"/>
      <c r="L114" s="484"/>
      <c r="M114" s="484"/>
      <c r="N114" s="484"/>
      <c r="O114" s="484"/>
      <c r="P114" s="484"/>
      <c r="Q114" s="484"/>
      <c r="R114" s="484"/>
      <c r="S114" s="484"/>
      <c r="T114" s="484"/>
      <c r="U114" s="484"/>
      <c r="V114" s="484"/>
      <c r="W114" s="484"/>
      <c r="X114" s="484"/>
      <c r="Y114" s="484"/>
      <c r="Z114" s="484"/>
      <c r="AA114" s="484"/>
      <c r="AB114" s="484"/>
      <c r="AC114" s="484"/>
      <c r="AD114" s="484"/>
      <c r="AE114" s="484"/>
      <c r="AF114" s="484"/>
      <c r="AG114" s="484"/>
      <c r="AH114" s="484"/>
      <c r="AI114" s="484"/>
      <c r="AJ114" s="484"/>
      <c r="AK114" s="484"/>
      <c r="AL114" s="484"/>
      <c r="AM114" s="484"/>
    </row>
    <row r="115" spans="1:39" ht="15.75" customHeight="1" x14ac:dyDescent="0.35">
      <c r="A115" s="484"/>
      <c r="B115" s="484"/>
      <c r="C115" s="484"/>
      <c r="D115" s="484"/>
      <c r="E115" s="484"/>
      <c r="F115" s="484"/>
      <c r="G115" s="484"/>
      <c r="H115" s="484"/>
      <c r="I115" s="1084"/>
      <c r="J115" s="484"/>
      <c r="K115" s="484"/>
      <c r="L115" s="484"/>
      <c r="M115" s="484"/>
      <c r="N115" s="484"/>
      <c r="O115" s="484"/>
      <c r="P115" s="484"/>
      <c r="Q115" s="484"/>
      <c r="R115" s="484"/>
      <c r="S115" s="484"/>
      <c r="T115" s="484"/>
      <c r="U115" s="484"/>
      <c r="V115" s="484"/>
      <c r="W115" s="484"/>
      <c r="X115" s="484"/>
      <c r="Y115" s="484"/>
      <c r="Z115" s="484"/>
      <c r="AA115" s="484"/>
      <c r="AB115" s="484"/>
      <c r="AC115" s="484"/>
      <c r="AD115" s="484"/>
      <c r="AE115" s="484"/>
      <c r="AF115" s="484"/>
      <c r="AG115" s="484"/>
      <c r="AH115" s="484"/>
      <c r="AI115" s="484"/>
      <c r="AJ115" s="484"/>
      <c r="AK115" s="484"/>
      <c r="AL115" s="484"/>
      <c r="AM115" s="484"/>
    </row>
    <row r="116" spans="1:39" ht="15.75" customHeight="1" x14ac:dyDescent="0.35">
      <c r="A116" s="484"/>
      <c r="B116" s="484"/>
      <c r="C116" s="484"/>
      <c r="D116" s="484"/>
      <c r="E116" s="484"/>
      <c r="F116" s="484"/>
      <c r="G116" s="484"/>
      <c r="H116" s="484"/>
      <c r="I116" s="1084"/>
      <c r="J116" s="484"/>
      <c r="K116" s="484"/>
      <c r="L116" s="484"/>
      <c r="M116" s="484"/>
      <c r="N116" s="484"/>
      <c r="O116" s="484"/>
      <c r="P116" s="484"/>
      <c r="Q116" s="484"/>
      <c r="R116" s="484"/>
      <c r="S116" s="484"/>
      <c r="T116" s="484"/>
      <c r="U116" s="484"/>
      <c r="V116" s="484"/>
      <c r="W116" s="484"/>
      <c r="X116" s="484"/>
      <c r="Y116" s="484"/>
      <c r="Z116" s="484"/>
      <c r="AA116" s="484"/>
      <c r="AB116" s="484"/>
      <c r="AC116" s="484"/>
      <c r="AD116" s="484"/>
      <c r="AE116" s="484"/>
      <c r="AF116" s="484"/>
      <c r="AG116" s="484"/>
      <c r="AH116" s="484"/>
      <c r="AI116" s="484"/>
      <c r="AJ116" s="484"/>
      <c r="AK116" s="484"/>
      <c r="AL116" s="484"/>
      <c r="AM116" s="484"/>
    </row>
    <row r="117" spans="1:39" ht="15.75" customHeight="1" x14ac:dyDescent="0.35">
      <c r="A117" s="484"/>
      <c r="B117" s="484"/>
      <c r="C117" s="484"/>
      <c r="D117" s="484"/>
      <c r="E117" s="484"/>
      <c r="F117" s="484"/>
      <c r="G117" s="484"/>
      <c r="H117" s="484"/>
      <c r="I117" s="1084"/>
      <c r="J117" s="484"/>
      <c r="K117" s="484"/>
      <c r="L117" s="484"/>
      <c r="M117" s="484"/>
      <c r="N117" s="484"/>
      <c r="O117" s="484"/>
      <c r="P117" s="484"/>
      <c r="Q117" s="484"/>
      <c r="R117" s="484"/>
      <c r="S117" s="484"/>
      <c r="T117" s="484"/>
      <c r="U117" s="484"/>
      <c r="V117" s="484"/>
      <c r="W117" s="484"/>
      <c r="X117" s="484"/>
      <c r="Y117" s="484"/>
      <c r="Z117" s="484"/>
      <c r="AA117" s="484"/>
      <c r="AB117" s="484"/>
      <c r="AC117" s="484"/>
      <c r="AD117" s="484"/>
      <c r="AE117" s="484"/>
      <c r="AF117" s="484"/>
      <c r="AG117" s="484"/>
      <c r="AH117" s="484"/>
      <c r="AI117" s="484"/>
      <c r="AJ117" s="484"/>
      <c r="AK117" s="484"/>
      <c r="AL117" s="484"/>
      <c r="AM117" s="484"/>
    </row>
    <row r="118" spans="1:39" ht="15.75" customHeight="1" x14ac:dyDescent="0.35">
      <c r="A118" s="484"/>
      <c r="B118" s="484"/>
      <c r="C118" s="484"/>
      <c r="D118" s="484"/>
      <c r="E118" s="484"/>
      <c r="F118" s="484"/>
      <c r="G118" s="484"/>
      <c r="H118" s="484"/>
      <c r="I118" s="1084"/>
      <c r="J118" s="484"/>
      <c r="K118" s="484"/>
      <c r="L118" s="484"/>
      <c r="M118" s="484"/>
      <c r="N118" s="484"/>
      <c r="O118" s="484"/>
      <c r="P118" s="484"/>
      <c r="Q118" s="484"/>
      <c r="R118" s="484"/>
      <c r="S118" s="484"/>
      <c r="T118" s="484"/>
      <c r="U118" s="484"/>
      <c r="V118" s="484"/>
      <c r="W118" s="484"/>
      <c r="X118" s="484"/>
      <c r="Y118" s="484"/>
      <c r="Z118" s="484"/>
      <c r="AA118" s="484"/>
      <c r="AB118" s="484"/>
      <c r="AC118" s="484"/>
      <c r="AD118" s="484"/>
      <c r="AE118" s="484"/>
      <c r="AF118" s="484"/>
      <c r="AG118" s="484"/>
      <c r="AH118" s="484"/>
      <c r="AI118" s="484"/>
      <c r="AJ118" s="484"/>
      <c r="AK118" s="484"/>
      <c r="AL118" s="484"/>
      <c r="AM118" s="484"/>
    </row>
    <row r="119" spans="1:39" ht="15.75" customHeight="1" x14ac:dyDescent="0.35">
      <c r="A119" s="484"/>
      <c r="B119" s="484"/>
      <c r="C119" s="484"/>
      <c r="D119" s="484"/>
      <c r="E119" s="484"/>
      <c r="F119" s="484"/>
      <c r="G119" s="484"/>
      <c r="H119" s="484"/>
      <c r="I119" s="1084"/>
      <c r="J119" s="484"/>
      <c r="K119" s="484"/>
      <c r="L119" s="484"/>
      <c r="M119" s="484"/>
      <c r="N119" s="484"/>
      <c r="O119" s="484"/>
      <c r="P119" s="484"/>
      <c r="Q119" s="484"/>
      <c r="R119" s="484"/>
      <c r="S119" s="484"/>
      <c r="T119" s="484"/>
      <c r="U119" s="484"/>
      <c r="V119" s="484"/>
      <c r="W119" s="484"/>
      <c r="X119" s="484"/>
      <c r="Y119" s="484"/>
      <c r="Z119" s="484"/>
      <c r="AA119" s="484"/>
      <c r="AB119" s="484"/>
      <c r="AC119" s="484"/>
      <c r="AD119" s="484"/>
      <c r="AE119" s="484"/>
      <c r="AF119" s="484"/>
      <c r="AG119" s="484"/>
      <c r="AH119" s="484"/>
      <c r="AI119" s="484"/>
      <c r="AJ119" s="484"/>
      <c r="AK119" s="484"/>
      <c r="AL119" s="484"/>
      <c r="AM119" s="484"/>
    </row>
    <row r="120" spans="1:39" ht="15.75" customHeight="1" x14ac:dyDescent="0.35">
      <c r="A120" s="484"/>
      <c r="B120" s="484"/>
      <c r="C120" s="484"/>
      <c r="D120" s="484"/>
      <c r="E120" s="484"/>
      <c r="F120" s="484"/>
      <c r="G120" s="484"/>
      <c r="H120" s="484"/>
      <c r="I120" s="1084"/>
      <c r="J120" s="484"/>
      <c r="K120" s="484"/>
      <c r="L120" s="484"/>
      <c r="M120" s="484"/>
      <c r="N120" s="484"/>
      <c r="O120" s="484"/>
      <c r="P120" s="484"/>
      <c r="Q120" s="484"/>
      <c r="R120" s="484"/>
      <c r="S120" s="484"/>
      <c r="T120" s="484"/>
      <c r="U120" s="484"/>
      <c r="V120" s="484"/>
      <c r="W120" s="484"/>
      <c r="X120" s="484"/>
      <c r="Y120" s="484"/>
      <c r="Z120" s="484"/>
      <c r="AA120" s="484"/>
      <c r="AB120" s="484"/>
      <c r="AC120" s="484"/>
      <c r="AD120" s="484"/>
      <c r="AE120" s="484"/>
      <c r="AF120" s="484"/>
      <c r="AG120" s="484"/>
      <c r="AH120" s="484"/>
      <c r="AI120" s="484"/>
      <c r="AJ120" s="484"/>
      <c r="AK120" s="484"/>
      <c r="AL120" s="484"/>
      <c r="AM120" s="484"/>
    </row>
    <row r="121" spans="1:39" ht="15.75" customHeight="1" x14ac:dyDescent="0.35">
      <c r="A121" s="484"/>
      <c r="B121" s="484"/>
      <c r="C121" s="484"/>
      <c r="D121" s="484"/>
      <c r="E121" s="484"/>
      <c r="F121" s="484"/>
      <c r="G121" s="484"/>
      <c r="H121" s="484"/>
      <c r="I121" s="1084"/>
      <c r="J121" s="484"/>
      <c r="K121" s="484"/>
      <c r="L121" s="484"/>
      <c r="M121" s="484"/>
      <c r="N121" s="484"/>
      <c r="O121" s="484"/>
      <c r="P121" s="484"/>
      <c r="Q121" s="484"/>
      <c r="R121" s="484"/>
      <c r="S121" s="484"/>
      <c r="T121" s="484"/>
      <c r="U121" s="484"/>
      <c r="V121" s="484"/>
      <c r="W121" s="484"/>
      <c r="X121" s="484"/>
      <c r="Y121" s="484"/>
      <c r="Z121" s="484"/>
      <c r="AA121" s="484"/>
      <c r="AB121" s="484"/>
      <c r="AC121" s="484"/>
      <c r="AD121" s="484"/>
      <c r="AE121" s="484"/>
      <c r="AF121" s="484"/>
      <c r="AG121" s="484"/>
      <c r="AH121" s="484"/>
      <c r="AI121" s="484"/>
      <c r="AJ121" s="484"/>
      <c r="AK121" s="484"/>
      <c r="AL121" s="484"/>
      <c r="AM121" s="484"/>
    </row>
    <row r="122" spans="1:39" ht="15.75" customHeight="1" x14ac:dyDescent="0.35">
      <c r="A122" s="484"/>
      <c r="B122" s="484"/>
      <c r="C122" s="484"/>
      <c r="D122" s="484"/>
      <c r="E122" s="484"/>
      <c r="F122" s="484"/>
      <c r="G122" s="484"/>
      <c r="H122" s="484"/>
      <c r="I122" s="1084"/>
      <c r="J122" s="484"/>
      <c r="K122" s="484"/>
      <c r="L122" s="484"/>
      <c r="M122" s="484"/>
      <c r="N122" s="484"/>
      <c r="O122" s="484"/>
      <c r="P122" s="484"/>
      <c r="Q122" s="484"/>
      <c r="R122" s="484"/>
      <c r="S122" s="484"/>
      <c r="T122" s="484"/>
      <c r="U122" s="484"/>
      <c r="V122" s="484"/>
      <c r="W122" s="484"/>
      <c r="X122" s="484"/>
      <c r="Y122" s="484"/>
      <c r="Z122" s="484"/>
      <c r="AA122" s="484"/>
      <c r="AB122" s="484"/>
      <c r="AC122" s="484"/>
      <c r="AD122" s="484"/>
      <c r="AE122" s="484"/>
      <c r="AF122" s="484"/>
      <c r="AG122" s="484"/>
      <c r="AH122" s="484"/>
      <c r="AI122" s="484"/>
      <c r="AJ122" s="484"/>
      <c r="AK122" s="484"/>
      <c r="AL122" s="484"/>
      <c r="AM122" s="484"/>
    </row>
    <row r="123" spans="1:39" ht="15.75" customHeight="1" x14ac:dyDescent="0.35">
      <c r="A123" s="484"/>
      <c r="B123" s="484"/>
      <c r="C123" s="484"/>
      <c r="D123" s="484"/>
      <c r="E123" s="484"/>
      <c r="F123" s="484"/>
      <c r="G123" s="484"/>
      <c r="H123" s="484"/>
      <c r="I123" s="1084"/>
      <c r="J123" s="484"/>
      <c r="K123" s="484"/>
      <c r="L123" s="484"/>
      <c r="M123" s="484"/>
      <c r="N123" s="484"/>
      <c r="O123" s="484"/>
      <c r="P123" s="484"/>
      <c r="Q123" s="484"/>
      <c r="R123" s="484"/>
      <c r="S123" s="484"/>
      <c r="T123" s="484"/>
      <c r="U123" s="484"/>
      <c r="V123" s="484"/>
      <c r="W123" s="484"/>
      <c r="X123" s="484"/>
      <c r="Y123" s="484"/>
      <c r="Z123" s="484"/>
      <c r="AA123" s="484"/>
      <c r="AB123" s="484"/>
      <c r="AC123" s="484"/>
      <c r="AD123" s="484"/>
      <c r="AE123" s="484"/>
      <c r="AF123" s="484"/>
      <c r="AG123" s="484"/>
      <c r="AH123" s="484"/>
      <c r="AI123" s="484"/>
      <c r="AJ123" s="484"/>
      <c r="AK123" s="484"/>
      <c r="AL123" s="484"/>
      <c r="AM123" s="484"/>
    </row>
    <row r="124" spans="1:39" ht="15.75" customHeight="1" x14ac:dyDescent="0.35">
      <c r="A124" s="484"/>
      <c r="B124" s="484"/>
      <c r="C124" s="484"/>
      <c r="D124" s="484"/>
      <c r="E124" s="484"/>
      <c r="F124" s="484"/>
      <c r="G124" s="484"/>
      <c r="H124" s="484"/>
      <c r="I124" s="1084"/>
      <c r="J124" s="484"/>
      <c r="K124" s="484"/>
      <c r="L124" s="484"/>
      <c r="M124" s="484"/>
      <c r="N124" s="484"/>
      <c r="O124" s="484"/>
      <c r="P124" s="484"/>
      <c r="Q124" s="484"/>
      <c r="R124" s="484"/>
      <c r="S124" s="484"/>
      <c r="T124" s="484"/>
      <c r="U124" s="484"/>
      <c r="V124" s="484"/>
      <c r="W124" s="484"/>
      <c r="X124" s="484"/>
      <c r="Y124" s="484"/>
      <c r="Z124" s="484"/>
      <c r="AA124" s="484"/>
      <c r="AB124" s="484"/>
      <c r="AC124" s="484"/>
      <c r="AD124" s="484"/>
      <c r="AE124" s="484"/>
      <c r="AF124" s="484"/>
      <c r="AG124" s="484"/>
      <c r="AH124" s="484"/>
      <c r="AI124" s="484"/>
      <c r="AJ124" s="484"/>
      <c r="AK124" s="484"/>
      <c r="AL124" s="484"/>
      <c r="AM124" s="484"/>
    </row>
    <row r="125" spans="1:39" ht="15.75" customHeight="1" x14ac:dyDescent="0.35">
      <c r="A125" s="484"/>
      <c r="B125" s="484"/>
      <c r="C125" s="484"/>
      <c r="D125" s="484"/>
      <c r="E125" s="484"/>
      <c r="F125" s="484"/>
      <c r="G125" s="484"/>
      <c r="H125" s="484"/>
      <c r="I125" s="1084"/>
      <c r="J125" s="484"/>
      <c r="K125" s="484"/>
      <c r="L125" s="484"/>
      <c r="M125" s="484"/>
      <c r="N125" s="484"/>
      <c r="O125" s="484"/>
      <c r="P125" s="484"/>
      <c r="Q125" s="484"/>
      <c r="R125" s="484"/>
      <c r="S125" s="484"/>
      <c r="T125" s="484"/>
      <c r="U125" s="484"/>
      <c r="V125" s="484"/>
      <c r="W125" s="484"/>
      <c r="X125" s="484"/>
      <c r="Y125" s="484"/>
      <c r="Z125" s="484"/>
      <c r="AA125" s="484"/>
      <c r="AB125" s="484"/>
      <c r="AC125" s="484"/>
      <c r="AD125" s="484"/>
      <c r="AE125" s="484"/>
      <c r="AF125" s="484"/>
      <c r="AG125" s="484"/>
      <c r="AH125" s="484"/>
      <c r="AI125" s="484"/>
      <c r="AJ125" s="484"/>
      <c r="AK125" s="484"/>
      <c r="AL125" s="484"/>
      <c r="AM125" s="484"/>
    </row>
    <row r="126" spans="1:39" ht="15.75" customHeight="1" x14ac:dyDescent="0.35">
      <c r="A126" s="484"/>
      <c r="B126" s="484"/>
      <c r="C126" s="484"/>
      <c r="D126" s="484"/>
      <c r="E126" s="484"/>
      <c r="F126" s="484"/>
      <c r="G126" s="484"/>
      <c r="H126" s="484"/>
      <c r="I126" s="1084"/>
      <c r="J126" s="484"/>
      <c r="K126" s="484"/>
      <c r="L126" s="484"/>
      <c r="M126" s="484"/>
      <c r="N126" s="484"/>
      <c r="O126" s="484"/>
      <c r="P126" s="484"/>
      <c r="Q126" s="484"/>
      <c r="R126" s="484"/>
      <c r="S126" s="484"/>
      <c r="T126" s="484"/>
      <c r="U126" s="484"/>
      <c r="V126" s="484"/>
      <c r="W126" s="484"/>
      <c r="X126" s="484"/>
      <c r="Y126" s="484"/>
      <c r="Z126" s="484"/>
      <c r="AA126" s="484"/>
      <c r="AB126" s="484"/>
      <c r="AC126" s="484"/>
      <c r="AD126" s="484"/>
      <c r="AE126" s="484"/>
      <c r="AF126" s="484"/>
      <c r="AG126" s="484"/>
      <c r="AH126" s="484"/>
      <c r="AI126" s="484"/>
      <c r="AJ126" s="484"/>
      <c r="AK126" s="484"/>
      <c r="AL126" s="484"/>
      <c r="AM126" s="484"/>
    </row>
    <row r="127" spans="1:39" ht="15.75" customHeight="1" x14ac:dyDescent="0.35">
      <c r="A127" s="484"/>
      <c r="B127" s="484"/>
      <c r="C127" s="484"/>
      <c r="D127" s="484"/>
      <c r="E127" s="484"/>
      <c r="F127" s="484"/>
      <c r="G127" s="484"/>
      <c r="H127" s="484"/>
      <c r="I127" s="1084"/>
      <c r="J127" s="484"/>
      <c r="K127" s="484"/>
      <c r="L127" s="484"/>
      <c r="M127" s="484"/>
      <c r="N127" s="484"/>
      <c r="O127" s="484"/>
      <c r="P127" s="484"/>
      <c r="Q127" s="484"/>
      <c r="R127" s="484"/>
      <c r="S127" s="484"/>
      <c r="T127" s="484"/>
      <c r="U127" s="484"/>
      <c r="V127" s="484"/>
      <c r="W127" s="484"/>
      <c r="X127" s="484"/>
      <c r="Y127" s="484"/>
      <c r="Z127" s="484"/>
      <c r="AA127" s="484"/>
      <c r="AB127" s="484"/>
      <c r="AC127" s="484"/>
      <c r="AD127" s="484"/>
      <c r="AE127" s="484"/>
      <c r="AF127" s="484"/>
      <c r="AG127" s="484"/>
      <c r="AH127" s="484"/>
      <c r="AI127" s="484"/>
      <c r="AJ127" s="484"/>
      <c r="AK127" s="484"/>
      <c r="AL127" s="484"/>
      <c r="AM127" s="484"/>
    </row>
    <row r="128" spans="1:39" ht="15.75" customHeight="1" x14ac:dyDescent="0.35">
      <c r="A128" s="484"/>
      <c r="B128" s="484"/>
      <c r="C128" s="484"/>
      <c r="D128" s="484"/>
      <c r="E128" s="484"/>
      <c r="F128" s="484"/>
      <c r="G128" s="484"/>
      <c r="H128" s="484"/>
      <c r="I128" s="1084"/>
      <c r="J128" s="484"/>
      <c r="K128" s="484"/>
      <c r="L128" s="484"/>
      <c r="M128" s="484"/>
      <c r="N128" s="484"/>
      <c r="O128" s="484"/>
      <c r="P128" s="484"/>
      <c r="Q128" s="484"/>
      <c r="R128" s="484"/>
      <c r="S128" s="484"/>
      <c r="T128" s="484"/>
      <c r="U128" s="484"/>
      <c r="V128" s="484"/>
      <c r="W128" s="484"/>
      <c r="X128" s="484"/>
      <c r="Y128" s="484"/>
      <c r="Z128" s="484"/>
      <c r="AA128" s="484"/>
      <c r="AB128" s="484"/>
      <c r="AC128" s="484"/>
      <c r="AD128" s="484"/>
      <c r="AE128" s="484"/>
      <c r="AF128" s="484"/>
      <c r="AG128" s="484"/>
      <c r="AH128" s="484"/>
      <c r="AI128" s="484"/>
      <c r="AJ128" s="484"/>
      <c r="AK128" s="484"/>
      <c r="AL128" s="484"/>
      <c r="AM128" s="484"/>
    </row>
    <row r="129" spans="1:39" ht="15.75" customHeight="1" x14ac:dyDescent="0.35">
      <c r="A129" s="484"/>
      <c r="B129" s="484"/>
      <c r="C129" s="484"/>
      <c r="D129" s="484"/>
      <c r="E129" s="484"/>
      <c r="F129" s="484"/>
      <c r="G129" s="484"/>
      <c r="H129" s="484"/>
      <c r="I129" s="1084"/>
      <c r="J129" s="484"/>
      <c r="K129" s="484"/>
      <c r="L129" s="484"/>
      <c r="M129" s="484"/>
      <c r="N129" s="484"/>
      <c r="O129" s="484"/>
      <c r="P129" s="484"/>
      <c r="Q129" s="484"/>
      <c r="R129" s="484"/>
      <c r="S129" s="484"/>
      <c r="T129" s="484"/>
      <c r="U129" s="484"/>
      <c r="V129" s="484"/>
      <c r="W129" s="484"/>
      <c r="X129" s="484"/>
      <c r="Y129" s="484"/>
      <c r="Z129" s="484"/>
      <c r="AA129" s="484"/>
      <c r="AB129" s="484"/>
      <c r="AC129" s="484"/>
      <c r="AD129" s="484"/>
      <c r="AE129" s="484"/>
      <c r="AF129" s="484"/>
      <c r="AG129" s="484"/>
      <c r="AH129" s="484"/>
      <c r="AI129" s="484"/>
      <c r="AJ129" s="484"/>
      <c r="AK129" s="484"/>
      <c r="AL129" s="484"/>
      <c r="AM129" s="484"/>
    </row>
    <row r="130" spans="1:39" ht="15.75" customHeight="1" x14ac:dyDescent="0.35">
      <c r="A130" s="484"/>
      <c r="B130" s="484"/>
      <c r="C130" s="484"/>
      <c r="D130" s="484"/>
      <c r="E130" s="484"/>
      <c r="F130" s="484"/>
      <c r="G130" s="484"/>
      <c r="H130" s="484"/>
      <c r="I130" s="1084"/>
      <c r="J130" s="484"/>
      <c r="K130" s="484"/>
      <c r="L130" s="484"/>
      <c r="M130" s="484"/>
      <c r="N130" s="484"/>
      <c r="O130" s="484"/>
      <c r="P130" s="484"/>
      <c r="Q130" s="484"/>
      <c r="R130" s="484"/>
      <c r="S130" s="484"/>
      <c r="T130" s="484"/>
      <c r="U130" s="484"/>
      <c r="V130" s="484"/>
      <c r="W130" s="484"/>
      <c r="X130" s="484"/>
      <c r="Y130" s="484"/>
      <c r="Z130" s="484"/>
      <c r="AA130" s="484"/>
      <c r="AB130" s="484"/>
      <c r="AC130" s="484"/>
      <c r="AD130" s="484"/>
      <c r="AE130" s="484"/>
      <c r="AF130" s="484"/>
      <c r="AG130" s="484"/>
      <c r="AH130" s="484"/>
      <c r="AI130" s="484"/>
      <c r="AJ130" s="484"/>
      <c r="AK130" s="484"/>
      <c r="AL130" s="484"/>
      <c r="AM130" s="484"/>
    </row>
    <row r="131" spans="1:39" ht="15.75" customHeight="1" x14ac:dyDescent="0.35">
      <c r="A131" s="484"/>
      <c r="B131" s="484"/>
      <c r="C131" s="484"/>
      <c r="D131" s="484"/>
      <c r="E131" s="484"/>
      <c r="F131" s="484"/>
      <c r="G131" s="484"/>
      <c r="H131" s="484"/>
      <c r="I131" s="1084"/>
      <c r="J131" s="484"/>
      <c r="K131" s="484"/>
      <c r="L131" s="484"/>
      <c r="M131" s="484"/>
      <c r="N131" s="484"/>
      <c r="O131" s="484"/>
      <c r="P131" s="484"/>
      <c r="Q131" s="484"/>
      <c r="R131" s="484"/>
      <c r="S131" s="484"/>
      <c r="T131" s="484"/>
      <c r="U131" s="484"/>
      <c r="V131" s="484"/>
      <c r="W131" s="484"/>
      <c r="X131" s="484"/>
      <c r="Y131" s="484"/>
      <c r="Z131" s="484"/>
      <c r="AA131" s="484"/>
      <c r="AB131" s="484"/>
      <c r="AC131" s="484"/>
      <c r="AD131" s="484"/>
      <c r="AE131" s="484"/>
      <c r="AF131" s="484"/>
      <c r="AG131" s="484"/>
      <c r="AH131" s="484"/>
      <c r="AI131" s="484"/>
      <c r="AJ131" s="484"/>
      <c r="AK131" s="484"/>
      <c r="AL131" s="484"/>
      <c r="AM131" s="484"/>
    </row>
    <row r="132" spans="1:39" ht="15.75" customHeight="1" x14ac:dyDescent="0.35">
      <c r="A132" s="484"/>
      <c r="B132" s="484"/>
      <c r="C132" s="484"/>
      <c r="D132" s="484"/>
      <c r="E132" s="484"/>
      <c r="F132" s="484"/>
      <c r="G132" s="484"/>
      <c r="H132" s="484"/>
      <c r="I132" s="1084"/>
      <c r="J132" s="484"/>
      <c r="K132" s="484"/>
      <c r="L132" s="484"/>
      <c r="M132" s="484"/>
      <c r="N132" s="484"/>
      <c r="O132" s="484"/>
      <c r="P132" s="484"/>
      <c r="Q132" s="484"/>
      <c r="R132" s="484"/>
      <c r="S132" s="484"/>
      <c r="T132" s="484"/>
      <c r="U132" s="484"/>
      <c r="V132" s="484"/>
      <c r="W132" s="484"/>
      <c r="X132" s="484"/>
      <c r="Y132" s="484"/>
      <c r="Z132" s="484"/>
      <c r="AA132" s="484"/>
      <c r="AB132" s="484"/>
      <c r="AC132" s="484"/>
      <c r="AD132" s="484"/>
      <c r="AE132" s="484"/>
      <c r="AF132" s="484"/>
      <c r="AG132" s="484"/>
      <c r="AH132" s="484"/>
      <c r="AI132" s="484"/>
      <c r="AJ132" s="484"/>
      <c r="AK132" s="484"/>
      <c r="AL132" s="484"/>
      <c r="AM132" s="484"/>
    </row>
    <row r="133" spans="1:39" ht="15.75" customHeight="1" x14ac:dyDescent="0.35">
      <c r="A133" s="484"/>
      <c r="B133" s="484"/>
      <c r="C133" s="484"/>
      <c r="D133" s="484"/>
      <c r="E133" s="484"/>
      <c r="F133" s="484"/>
      <c r="G133" s="484"/>
      <c r="H133" s="484"/>
      <c r="I133" s="1084"/>
      <c r="J133" s="484"/>
      <c r="K133" s="484"/>
      <c r="L133" s="484"/>
      <c r="M133" s="484"/>
      <c r="N133" s="484"/>
      <c r="O133" s="484"/>
      <c r="P133" s="484"/>
      <c r="Q133" s="484"/>
      <c r="R133" s="484"/>
      <c r="S133" s="484"/>
      <c r="T133" s="484"/>
      <c r="U133" s="484"/>
      <c r="V133" s="484"/>
      <c r="W133" s="484"/>
      <c r="X133" s="484"/>
      <c r="Y133" s="484"/>
      <c r="Z133" s="484"/>
      <c r="AA133" s="484"/>
      <c r="AB133" s="484"/>
      <c r="AC133" s="484"/>
      <c r="AD133" s="484"/>
      <c r="AE133" s="484"/>
      <c r="AF133" s="484"/>
      <c r="AG133" s="484"/>
      <c r="AH133" s="484"/>
      <c r="AI133" s="484"/>
      <c r="AJ133" s="484"/>
      <c r="AK133" s="484"/>
      <c r="AL133" s="484"/>
      <c r="AM133" s="484"/>
    </row>
    <row r="134" spans="1:39" ht="15.75" customHeight="1" x14ac:dyDescent="0.35">
      <c r="A134" s="484"/>
      <c r="B134" s="484"/>
      <c r="C134" s="484"/>
      <c r="D134" s="484"/>
      <c r="E134" s="484"/>
      <c r="F134" s="484"/>
      <c r="G134" s="484"/>
      <c r="H134" s="484"/>
      <c r="I134" s="1084"/>
      <c r="J134" s="484"/>
      <c r="K134" s="484"/>
      <c r="L134" s="484"/>
      <c r="M134" s="484"/>
      <c r="N134" s="484"/>
      <c r="O134" s="484"/>
      <c r="P134" s="484"/>
      <c r="Q134" s="484"/>
      <c r="R134" s="484"/>
      <c r="S134" s="484"/>
      <c r="T134" s="484"/>
      <c r="U134" s="484"/>
      <c r="V134" s="484"/>
      <c r="W134" s="484"/>
      <c r="X134" s="484"/>
      <c r="Y134" s="484"/>
      <c r="Z134" s="484"/>
      <c r="AA134" s="484"/>
      <c r="AB134" s="484"/>
      <c r="AC134" s="484"/>
      <c r="AD134" s="484"/>
      <c r="AE134" s="484"/>
      <c r="AF134" s="484"/>
      <c r="AG134" s="484"/>
      <c r="AH134" s="484"/>
      <c r="AI134" s="484"/>
      <c r="AJ134" s="484"/>
      <c r="AK134" s="484"/>
      <c r="AL134" s="484"/>
      <c r="AM134" s="484"/>
    </row>
    <row r="135" spans="1:39" ht="15.75" customHeight="1" x14ac:dyDescent="0.35">
      <c r="A135" s="484"/>
      <c r="B135" s="484"/>
      <c r="C135" s="484"/>
      <c r="D135" s="484"/>
      <c r="E135" s="484"/>
      <c r="F135" s="484"/>
      <c r="G135" s="484"/>
      <c r="H135" s="484"/>
      <c r="I135" s="1084"/>
      <c r="J135" s="484"/>
      <c r="K135" s="484"/>
      <c r="L135" s="484"/>
      <c r="M135" s="484"/>
      <c r="N135" s="484"/>
      <c r="O135" s="484"/>
      <c r="P135" s="484"/>
      <c r="Q135" s="484"/>
      <c r="R135" s="484"/>
      <c r="S135" s="484"/>
      <c r="T135" s="484"/>
      <c r="U135" s="484"/>
      <c r="V135" s="484"/>
      <c r="W135" s="484"/>
      <c r="X135" s="484"/>
      <c r="Y135" s="484"/>
      <c r="Z135" s="484"/>
      <c r="AA135" s="484"/>
      <c r="AB135" s="484"/>
      <c r="AC135" s="484"/>
      <c r="AD135" s="484"/>
      <c r="AE135" s="484"/>
      <c r="AF135" s="484"/>
      <c r="AG135" s="484"/>
      <c r="AH135" s="484"/>
      <c r="AI135" s="484"/>
      <c r="AJ135" s="484"/>
      <c r="AK135" s="484"/>
      <c r="AL135" s="484"/>
      <c r="AM135" s="484"/>
    </row>
    <row r="136" spans="1:39" ht="15.75" customHeight="1" x14ac:dyDescent="0.35">
      <c r="A136" s="484"/>
      <c r="B136" s="484"/>
      <c r="C136" s="484"/>
      <c r="D136" s="484"/>
      <c r="E136" s="484"/>
      <c r="F136" s="484"/>
      <c r="G136" s="484"/>
      <c r="H136" s="484"/>
      <c r="I136" s="1084"/>
      <c r="J136" s="484"/>
      <c r="K136" s="484"/>
      <c r="L136" s="484"/>
      <c r="M136" s="484"/>
      <c r="N136" s="484"/>
      <c r="O136" s="484"/>
      <c r="P136" s="484"/>
      <c r="Q136" s="484"/>
      <c r="R136" s="484"/>
      <c r="S136" s="484"/>
      <c r="T136" s="484"/>
      <c r="U136" s="484"/>
      <c r="V136" s="484"/>
      <c r="W136" s="484"/>
      <c r="X136" s="484"/>
      <c r="Y136" s="484"/>
      <c r="Z136" s="484"/>
      <c r="AA136" s="484"/>
      <c r="AB136" s="484"/>
      <c r="AC136" s="484"/>
      <c r="AD136" s="484"/>
      <c r="AE136" s="484"/>
      <c r="AF136" s="484"/>
      <c r="AG136" s="484"/>
      <c r="AH136" s="484"/>
      <c r="AI136" s="484"/>
      <c r="AJ136" s="484"/>
      <c r="AK136" s="484"/>
      <c r="AL136" s="484"/>
      <c r="AM136" s="484"/>
    </row>
    <row r="137" spans="1:39" ht="15.75" customHeight="1" x14ac:dyDescent="0.35">
      <c r="A137" s="484"/>
      <c r="B137" s="484"/>
      <c r="C137" s="484"/>
      <c r="D137" s="484"/>
      <c r="E137" s="484"/>
      <c r="F137" s="484"/>
      <c r="G137" s="484"/>
      <c r="H137" s="484"/>
      <c r="I137" s="1084"/>
      <c r="J137" s="484"/>
      <c r="K137" s="484"/>
      <c r="L137" s="484"/>
      <c r="M137" s="484"/>
      <c r="N137" s="484"/>
      <c r="O137" s="484"/>
      <c r="P137" s="484"/>
      <c r="Q137" s="484"/>
      <c r="R137" s="484"/>
      <c r="S137" s="484"/>
      <c r="T137" s="484"/>
      <c r="U137" s="484"/>
      <c r="V137" s="484"/>
      <c r="W137" s="484"/>
      <c r="X137" s="484"/>
      <c r="Y137" s="484"/>
      <c r="Z137" s="484"/>
      <c r="AA137" s="484"/>
      <c r="AB137" s="484"/>
      <c r="AC137" s="484"/>
      <c r="AD137" s="484"/>
      <c r="AE137" s="484"/>
      <c r="AF137" s="484"/>
      <c r="AG137" s="484"/>
      <c r="AH137" s="484"/>
      <c r="AI137" s="484"/>
      <c r="AJ137" s="484"/>
      <c r="AK137" s="484"/>
      <c r="AL137" s="484"/>
      <c r="AM137" s="484"/>
    </row>
    <row r="138" spans="1:39" ht="15.75" customHeight="1" x14ac:dyDescent="0.35">
      <c r="A138" s="484"/>
      <c r="B138" s="484"/>
      <c r="C138" s="484"/>
      <c r="D138" s="484"/>
      <c r="E138" s="484"/>
      <c r="F138" s="484"/>
      <c r="G138" s="484"/>
      <c r="H138" s="484"/>
      <c r="I138" s="1084"/>
      <c r="J138" s="484"/>
      <c r="K138" s="484"/>
      <c r="L138" s="484"/>
      <c r="M138" s="484"/>
      <c r="N138" s="484"/>
      <c r="O138" s="484"/>
      <c r="P138" s="484"/>
      <c r="Q138" s="484"/>
      <c r="R138" s="484"/>
      <c r="S138" s="484"/>
      <c r="T138" s="484"/>
      <c r="U138" s="484"/>
      <c r="V138" s="484"/>
      <c r="W138" s="484"/>
      <c r="X138" s="484"/>
      <c r="Y138" s="484"/>
      <c r="Z138" s="484"/>
      <c r="AA138" s="484"/>
      <c r="AB138" s="484"/>
      <c r="AC138" s="484"/>
      <c r="AD138" s="484"/>
      <c r="AE138" s="484"/>
      <c r="AF138" s="484"/>
      <c r="AG138" s="484"/>
      <c r="AH138" s="484"/>
      <c r="AI138" s="484"/>
      <c r="AJ138" s="484"/>
      <c r="AK138" s="484"/>
      <c r="AL138" s="484"/>
      <c r="AM138" s="484"/>
    </row>
    <row r="139" spans="1:39" ht="15.75" customHeight="1" x14ac:dyDescent="0.35">
      <c r="A139" s="484"/>
      <c r="B139" s="484"/>
      <c r="C139" s="484"/>
      <c r="D139" s="484"/>
      <c r="E139" s="484"/>
      <c r="F139" s="484"/>
      <c r="G139" s="484"/>
      <c r="H139" s="484"/>
      <c r="I139" s="1084"/>
      <c r="J139" s="484"/>
      <c r="K139" s="484"/>
      <c r="L139" s="484"/>
      <c r="M139" s="484"/>
      <c r="N139" s="484"/>
      <c r="O139" s="484"/>
      <c r="P139" s="484"/>
      <c r="Q139" s="484"/>
      <c r="R139" s="484"/>
      <c r="S139" s="484"/>
      <c r="T139" s="484"/>
      <c r="U139" s="484"/>
      <c r="V139" s="484"/>
      <c r="W139" s="484"/>
      <c r="X139" s="484"/>
      <c r="Y139" s="484"/>
      <c r="Z139" s="484"/>
      <c r="AA139" s="484"/>
      <c r="AB139" s="484"/>
      <c r="AC139" s="484"/>
      <c r="AD139" s="484"/>
      <c r="AE139" s="484"/>
      <c r="AF139" s="484"/>
      <c r="AG139" s="484"/>
      <c r="AH139" s="484"/>
      <c r="AI139" s="484"/>
      <c r="AJ139" s="484"/>
      <c r="AK139" s="484"/>
      <c r="AL139" s="484"/>
      <c r="AM139" s="484"/>
    </row>
    <row r="140" spans="1:39" ht="15.75" customHeight="1" x14ac:dyDescent="0.35">
      <c r="A140" s="484"/>
      <c r="B140" s="484"/>
      <c r="C140" s="484"/>
      <c r="D140" s="484"/>
      <c r="E140" s="484"/>
      <c r="F140" s="484"/>
      <c r="G140" s="484"/>
      <c r="H140" s="484"/>
      <c r="I140" s="1084"/>
      <c r="J140" s="484"/>
      <c r="K140" s="484"/>
      <c r="L140" s="484"/>
      <c r="M140" s="484"/>
      <c r="N140" s="484"/>
      <c r="O140" s="484"/>
      <c r="P140" s="484"/>
      <c r="Q140" s="484"/>
      <c r="R140" s="484"/>
      <c r="S140" s="484"/>
      <c r="T140" s="484"/>
      <c r="U140" s="484"/>
      <c r="V140" s="484"/>
      <c r="W140" s="484"/>
      <c r="X140" s="484"/>
      <c r="Y140" s="484"/>
      <c r="Z140" s="484"/>
      <c r="AA140" s="484"/>
      <c r="AB140" s="484"/>
      <c r="AC140" s="484"/>
      <c r="AD140" s="484"/>
      <c r="AE140" s="484"/>
      <c r="AF140" s="484"/>
      <c r="AG140" s="484"/>
      <c r="AH140" s="484"/>
      <c r="AI140" s="484"/>
      <c r="AJ140" s="484"/>
      <c r="AK140" s="484"/>
      <c r="AL140" s="484"/>
      <c r="AM140" s="484"/>
    </row>
    <row r="141" spans="1:39" ht="15.75" customHeight="1" x14ac:dyDescent="0.35">
      <c r="A141" s="484"/>
      <c r="B141" s="484"/>
      <c r="C141" s="484"/>
      <c r="D141" s="484"/>
      <c r="E141" s="484"/>
      <c r="F141" s="484"/>
      <c r="G141" s="484"/>
      <c r="H141" s="484"/>
      <c r="I141" s="1084"/>
      <c r="J141" s="484"/>
      <c r="K141" s="484"/>
      <c r="L141" s="484"/>
      <c r="M141" s="484"/>
      <c r="N141" s="484"/>
      <c r="O141" s="484"/>
      <c r="P141" s="484"/>
      <c r="Q141" s="484"/>
      <c r="R141" s="484"/>
      <c r="S141" s="484"/>
      <c r="T141" s="484"/>
      <c r="U141" s="484"/>
      <c r="V141" s="484"/>
      <c r="W141" s="484"/>
      <c r="X141" s="484"/>
      <c r="Y141" s="484"/>
      <c r="Z141" s="484"/>
      <c r="AA141" s="484"/>
      <c r="AB141" s="484"/>
      <c r="AC141" s="484"/>
      <c r="AD141" s="484"/>
      <c r="AE141" s="484"/>
      <c r="AF141" s="484"/>
      <c r="AG141" s="484"/>
      <c r="AH141" s="484"/>
      <c r="AI141" s="484"/>
      <c r="AJ141" s="484"/>
      <c r="AK141" s="484"/>
      <c r="AL141" s="484"/>
      <c r="AM141" s="484"/>
    </row>
    <row r="142" spans="1:39" ht="15.75" customHeight="1" x14ac:dyDescent="0.35">
      <c r="A142" s="484"/>
      <c r="B142" s="484"/>
      <c r="C142" s="484"/>
      <c r="D142" s="484"/>
      <c r="E142" s="484"/>
      <c r="F142" s="484"/>
      <c r="G142" s="484"/>
      <c r="H142" s="484"/>
      <c r="I142" s="1084"/>
      <c r="J142" s="484"/>
      <c r="K142" s="484"/>
      <c r="L142" s="484"/>
      <c r="M142" s="484"/>
      <c r="N142" s="484"/>
      <c r="O142" s="484"/>
      <c r="P142" s="484"/>
      <c r="Q142" s="484"/>
      <c r="R142" s="484"/>
      <c r="S142" s="484"/>
      <c r="T142" s="484"/>
      <c r="U142" s="484"/>
      <c r="V142" s="484"/>
      <c r="W142" s="484"/>
      <c r="X142" s="484"/>
      <c r="Y142" s="484"/>
      <c r="Z142" s="484"/>
      <c r="AA142" s="484"/>
      <c r="AB142" s="484"/>
      <c r="AC142" s="484"/>
      <c r="AD142" s="484"/>
      <c r="AE142" s="484"/>
      <c r="AF142" s="484"/>
      <c r="AG142" s="484"/>
      <c r="AH142" s="484"/>
      <c r="AI142" s="484"/>
      <c r="AJ142" s="484"/>
      <c r="AK142" s="484"/>
      <c r="AL142" s="484"/>
      <c r="AM142" s="484"/>
    </row>
    <row r="143" spans="1:39" ht="15.75" customHeight="1" x14ac:dyDescent="0.35">
      <c r="A143" s="484"/>
      <c r="B143" s="484"/>
      <c r="C143" s="484"/>
      <c r="D143" s="484"/>
      <c r="E143" s="484"/>
      <c r="F143" s="484"/>
      <c r="G143" s="484"/>
      <c r="H143" s="484"/>
      <c r="I143" s="1084"/>
      <c r="J143" s="484"/>
      <c r="K143" s="484"/>
      <c r="L143" s="484"/>
      <c r="M143" s="484"/>
      <c r="N143" s="484"/>
      <c r="O143" s="484"/>
      <c r="P143" s="484"/>
      <c r="Q143" s="484"/>
      <c r="R143" s="484"/>
      <c r="S143" s="484"/>
      <c r="T143" s="484"/>
      <c r="U143" s="484"/>
      <c r="V143" s="484"/>
      <c r="W143" s="484"/>
      <c r="X143" s="484"/>
      <c r="Y143" s="484"/>
      <c r="Z143" s="484"/>
      <c r="AA143" s="484"/>
      <c r="AB143" s="484"/>
      <c r="AC143" s="484"/>
      <c r="AD143" s="484"/>
      <c r="AE143" s="484"/>
      <c r="AF143" s="484"/>
      <c r="AG143" s="484"/>
      <c r="AH143" s="484"/>
      <c r="AI143" s="484"/>
      <c r="AJ143" s="484"/>
      <c r="AK143" s="484"/>
      <c r="AL143" s="484"/>
      <c r="AM143" s="484"/>
    </row>
    <row r="144" spans="1:39" ht="15.75" customHeight="1" x14ac:dyDescent="0.35">
      <c r="A144" s="484"/>
      <c r="B144" s="484"/>
      <c r="C144" s="484"/>
      <c r="D144" s="484"/>
      <c r="E144" s="484"/>
      <c r="F144" s="484"/>
      <c r="G144" s="484"/>
      <c r="H144" s="484"/>
      <c r="I144" s="1084"/>
      <c r="J144" s="484"/>
      <c r="K144" s="484"/>
      <c r="L144" s="484"/>
      <c r="M144" s="484"/>
      <c r="N144" s="484"/>
      <c r="O144" s="484"/>
      <c r="P144" s="484"/>
      <c r="Q144" s="484"/>
      <c r="R144" s="484"/>
      <c r="S144" s="484"/>
      <c r="T144" s="484"/>
      <c r="U144" s="484"/>
      <c r="V144" s="484"/>
      <c r="W144" s="484"/>
      <c r="X144" s="484"/>
      <c r="Y144" s="484"/>
      <c r="Z144" s="484"/>
      <c r="AA144" s="484"/>
      <c r="AB144" s="484"/>
      <c r="AC144" s="484"/>
      <c r="AD144" s="484"/>
      <c r="AE144" s="484"/>
      <c r="AF144" s="484"/>
      <c r="AG144" s="484"/>
      <c r="AH144" s="484"/>
      <c r="AI144" s="484"/>
      <c r="AJ144" s="484"/>
      <c r="AK144" s="484"/>
      <c r="AL144" s="484"/>
      <c r="AM144" s="484"/>
    </row>
    <row r="145" spans="1:39" ht="15.75" customHeight="1" x14ac:dyDescent="0.35">
      <c r="A145" s="484"/>
      <c r="B145" s="484"/>
      <c r="C145" s="484"/>
      <c r="D145" s="484"/>
      <c r="E145" s="484"/>
      <c r="F145" s="484"/>
      <c r="G145" s="484"/>
      <c r="H145" s="484"/>
      <c r="I145" s="1084"/>
      <c r="J145" s="484"/>
      <c r="K145" s="484"/>
      <c r="L145" s="484"/>
      <c r="M145" s="484"/>
      <c r="N145" s="484"/>
      <c r="O145" s="484"/>
      <c r="P145" s="484"/>
      <c r="Q145" s="484"/>
      <c r="R145" s="484"/>
      <c r="S145" s="484"/>
      <c r="T145" s="484"/>
      <c r="U145" s="484"/>
      <c r="V145" s="484"/>
      <c r="W145" s="484"/>
      <c r="X145" s="484"/>
      <c r="Y145" s="484"/>
      <c r="Z145" s="484"/>
      <c r="AA145" s="484"/>
      <c r="AB145" s="484"/>
      <c r="AC145" s="484"/>
      <c r="AD145" s="484"/>
      <c r="AE145" s="484"/>
      <c r="AF145" s="484"/>
      <c r="AG145" s="484"/>
      <c r="AH145" s="484"/>
      <c r="AI145" s="484"/>
      <c r="AJ145" s="484"/>
      <c r="AK145" s="484"/>
      <c r="AL145" s="484"/>
      <c r="AM145" s="484"/>
    </row>
    <row r="146" spans="1:39" ht="15.75" customHeight="1" x14ac:dyDescent="0.35">
      <c r="A146" s="484"/>
      <c r="B146" s="484"/>
      <c r="C146" s="484"/>
      <c r="D146" s="484"/>
      <c r="E146" s="484"/>
      <c r="F146" s="484"/>
      <c r="G146" s="484"/>
      <c r="H146" s="484"/>
      <c r="I146" s="1084"/>
      <c r="J146" s="484"/>
      <c r="K146" s="484"/>
      <c r="L146" s="484"/>
      <c r="M146" s="484"/>
      <c r="N146" s="484"/>
      <c r="O146" s="484"/>
      <c r="P146" s="484"/>
      <c r="Q146" s="484"/>
      <c r="R146" s="484"/>
      <c r="S146" s="484"/>
      <c r="T146" s="484"/>
      <c r="U146" s="484"/>
      <c r="V146" s="484"/>
      <c r="W146" s="484"/>
      <c r="X146" s="484"/>
      <c r="Y146" s="484"/>
      <c r="Z146" s="484"/>
      <c r="AA146" s="484"/>
      <c r="AB146" s="484"/>
      <c r="AC146" s="484"/>
      <c r="AD146" s="484"/>
      <c r="AE146" s="484"/>
      <c r="AF146" s="484"/>
      <c r="AG146" s="484"/>
      <c r="AH146" s="484"/>
      <c r="AI146" s="484"/>
      <c r="AJ146" s="484"/>
      <c r="AK146" s="484"/>
      <c r="AL146" s="484"/>
      <c r="AM146" s="484"/>
    </row>
    <row r="147" spans="1:39" ht="15.75" customHeight="1" x14ac:dyDescent="0.35">
      <c r="A147" s="484"/>
      <c r="B147" s="484"/>
      <c r="C147" s="484"/>
      <c r="D147" s="484"/>
      <c r="E147" s="484"/>
      <c r="F147" s="484"/>
      <c r="G147" s="484"/>
      <c r="H147" s="484"/>
      <c r="I147" s="1084"/>
      <c r="J147" s="484"/>
      <c r="K147" s="484"/>
      <c r="L147" s="484"/>
      <c r="M147" s="484"/>
      <c r="N147" s="484"/>
      <c r="O147" s="484"/>
      <c r="P147" s="484"/>
      <c r="Q147" s="484"/>
      <c r="R147" s="484"/>
      <c r="S147" s="484"/>
      <c r="T147" s="484"/>
      <c r="U147" s="484"/>
      <c r="V147" s="484"/>
      <c r="W147" s="484"/>
      <c r="X147" s="484"/>
      <c r="Y147" s="484"/>
      <c r="Z147" s="484"/>
      <c r="AA147" s="484"/>
      <c r="AB147" s="484"/>
      <c r="AC147" s="484"/>
      <c r="AD147" s="484"/>
      <c r="AE147" s="484"/>
      <c r="AF147" s="484"/>
      <c r="AG147" s="484"/>
      <c r="AH147" s="484"/>
      <c r="AI147" s="484"/>
      <c r="AJ147" s="484"/>
      <c r="AK147" s="484"/>
      <c r="AL147" s="484"/>
      <c r="AM147" s="484"/>
    </row>
    <row r="148" spans="1:39" ht="15.75" customHeight="1" x14ac:dyDescent="0.35">
      <c r="A148" s="484"/>
      <c r="B148" s="484"/>
      <c r="C148" s="484"/>
      <c r="D148" s="484"/>
      <c r="E148" s="484"/>
      <c r="F148" s="484"/>
      <c r="G148" s="484"/>
      <c r="H148" s="484"/>
      <c r="I148" s="1084"/>
      <c r="J148" s="484"/>
      <c r="K148" s="484"/>
      <c r="L148" s="484"/>
      <c r="M148" s="484"/>
      <c r="N148" s="484"/>
      <c r="O148" s="484"/>
      <c r="P148" s="484"/>
      <c r="Q148" s="484"/>
      <c r="R148" s="484"/>
      <c r="S148" s="484"/>
      <c r="T148" s="484"/>
      <c r="U148" s="484"/>
      <c r="V148" s="484"/>
      <c r="W148" s="484"/>
      <c r="X148" s="484"/>
      <c r="Y148" s="484"/>
      <c r="Z148" s="484"/>
      <c r="AA148" s="484"/>
      <c r="AB148" s="484"/>
      <c r="AC148" s="484"/>
      <c r="AD148" s="484"/>
      <c r="AE148" s="484"/>
      <c r="AF148" s="484"/>
      <c r="AG148" s="484"/>
      <c r="AH148" s="484"/>
      <c r="AI148" s="484"/>
      <c r="AJ148" s="484"/>
      <c r="AK148" s="484"/>
      <c r="AL148" s="484"/>
      <c r="AM148" s="484"/>
    </row>
    <row r="149" spans="1:39" ht="15.75" customHeight="1" x14ac:dyDescent="0.35">
      <c r="A149" s="484"/>
      <c r="B149" s="484"/>
      <c r="C149" s="484"/>
      <c r="D149" s="484"/>
      <c r="E149" s="484"/>
      <c r="F149" s="484"/>
      <c r="G149" s="484"/>
      <c r="H149" s="484"/>
      <c r="I149" s="1084"/>
      <c r="J149" s="484"/>
      <c r="K149" s="484"/>
      <c r="L149" s="484"/>
      <c r="M149" s="484"/>
      <c r="N149" s="484"/>
      <c r="O149" s="484"/>
      <c r="P149" s="484"/>
      <c r="Q149" s="484"/>
      <c r="R149" s="484"/>
      <c r="S149" s="484"/>
      <c r="T149" s="484"/>
      <c r="U149" s="484"/>
      <c r="V149" s="484"/>
      <c r="W149" s="484"/>
      <c r="X149" s="484"/>
      <c r="Y149" s="484"/>
      <c r="Z149" s="484"/>
      <c r="AA149" s="484"/>
      <c r="AB149" s="484"/>
      <c r="AC149" s="484"/>
      <c r="AD149" s="484"/>
      <c r="AE149" s="484"/>
      <c r="AF149" s="484"/>
      <c r="AG149" s="484"/>
      <c r="AH149" s="484"/>
      <c r="AI149" s="484"/>
      <c r="AJ149" s="484"/>
      <c r="AK149" s="484"/>
      <c r="AL149" s="484"/>
      <c r="AM149" s="484"/>
    </row>
    <row r="150" spans="1:39" ht="15.75" customHeight="1" x14ac:dyDescent="0.35">
      <c r="A150" s="484"/>
      <c r="B150" s="484"/>
      <c r="C150" s="484"/>
      <c r="D150" s="484"/>
      <c r="E150" s="484"/>
      <c r="F150" s="484"/>
      <c r="G150" s="484"/>
      <c r="H150" s="484"/>
      <c r="I150" s="1084"/>
      <c r="J150" s="484"/>
      <c r="K150" s="484"/>
      <c r="L150" s="484"/>
      <c r="M150" s="484"/>
      <c r="N150" s="484"/>
      <c r="O150" s="484"/>
      <c r="P150" s="484"/>
      <c r="Q150" s="484"/>
      <c r="R150" s="484"/>
      <c r="S150" s="484"/>
      <c r="T150" s="484"/>
      <c r="U150" s="484"/>
      <c r="V150" s="484"/>
      <c r="W150" s="484"/>
      <c r="X150" s="484"/>
      <c r="Y150" s="484"/>
      <c r="Z150" s="484"/>
      <c r="AA150" s="484"/>
      <c r="AB150" s="484"/>
      <c r="AC150" s="484"/>
      <c r="AD150" s="484"/>
      <c r="AE150" s="484"/>
      <c r="AF150" s="484"/>
      <c r="AG150" s="484"/>
      <c r="AH150" s="484"/>
      <c r="AI150" s="484"/>
      <c r="AJ150" s="484"/>
      <c r="AK150" s="484"/>
      <c r="AL150" s="484"/>
      <c r="AM150" s="484"/>
    </row>
    <row r="151" spans="1:39" ht="15.75" customHeight="1" x14ac:dyDescent="0.35">
      <c r="A151" s="484"/>
      <c r="B151" s="484"/>
      <c r="C151" s="484"/>
      <c r="D151" s="484"/>
      <c r="E151" s="484"/>
      <c r="F151" s="484"/>
      <c r="G151" s="484"/>
      <c r="H151" s="484"/>
      <c r="I151" s="1084"/>
      <c r="J151" s="484"/>
      <c r="K151" s="484"/>
      <c r="L151" s="484"/>
      <c r="M151" s="484"/>
      <c r="N151" s="484"/>
      <c r="O151" s="484"/>
      <c r="P151" s="484"/>
      <c r="Q151" s="484"/>
      <c r="R151" s="484"/>
      <c r="S151" s="484"/>
      <c r="T151" s="484"/>
      <c r="U151" s="484"/>
      <c r="V151" s="484"/>
      <c r="W151" s="484"/>
      <c r="X151" s="484"/>
      <c r="Y151" s="484"/>
      <c r="Z151" s="484"/>
      <c r="AA151" s="484"/>
      <c r="AB151" s="484"/>
      <c r="AC151" s="484"/>
      <c r="AD151" s="484"/>
      <c r="AE151" s="484"/>
      <c r="AF151" s="484"/>
      <c r="AG151" s="484"/>
      <c r="AH151" s="484"/>
      <c r="AI151" s="484"/>
      <c r="AJ151" s="484"/>
      <c r="AK151" s="484"/>
      <c r="AL151" s="484"/>
      <c r="AM151" s="484"/>
    </row>
    <row r="152" spans="1:39" ht="15.75" customHeight="1" x14ac:dyDescent="0.35">
      <c r="A152" s="484"/>
      <c r="B152" s="484"/>
      <c r="C152" s="484"/>
      <c r="D152" s="484"/>
      <c r="E152" s="484"/>
      <c r="F152" s="484"/>
      <c r="G152" s="484"/>
      <c r="H152" s="484"/>
      <c r="I152" s="1084"/>
      <c r="J152" s="484"/>
      <c r="K152" s="484"/>
      <c r="L152" s="484"/>
      <c r="M152" s="484"/>
      <c r="N152" s="484"/>
      <c r="O152" s="484"/>
      <c r="P152" s="484"/>
      <c r="Q152" s="484"/>
      <c r="R152" s="484"/>
      <c r="S152" s="484"/>
      <c r="T152" s="484"/>
      <c r="U152" s="484"/>
      <c r="V152" s="484"/>
      <c r="W152" s="484"/>
      <c r="X152" s="484"/>
      <c r="Y152" s="484"/>
      <c r="Z152" s="484"/>
      <c r="AA152" s="484"/>
      <c r="AB152" s="484"/>
      <c r="AC152" s="484"/>
      <c r="AD152" s="484"/>
      <c r="AE152" s="484"/>
      <c r="AF152" s="484"/>
      <c r="AG152" s="484"/>
      <c r="AH152" s="484"/>
      <c r="AI152" s="484"/>
      <c r="AJ152" s="484"/>
      <c r="AK152" s="484"/>
      <c r="AL152" s="484"/>
      <c r="AM152" s="484"/>
    </row>
    <row r="153" spans="1:39" ht="15.75" customHeight="1" x14ac:dyDescent="0.35">
      <c r="A153" s="484"/>
      <c r="B153" s="484"/>
      <c r="C153" s="484"/>
      <c r="D153" s="484"/>
      <c r="E153" s="484"/>
      <c r="F153" s="484"/>
      <c r="G153" s="484"/>
      <c r="H153" s="484"/>
      <c r="I153" s="1084"/>
      <c r="J153" s="484"/>
      <c r="K153" s="484"/>
      <c r="L153" s="484"/>
      <c r="M153" s="484"/>
      <c r="N153" s="484"/>
      <c r="O153" s="484"/>
      <c r="P153" s="484"/>
      <c r="Q153" s="484"/>
      <c r="R153" s="484"/>
      <c r="S153" s="484"/>
      <c r="T153" s="484"/>
      <c r="U153" s="484"/>
      <c r="V153" s="484"/>
      <c r="W153" s="484"/>
      <c r="X153" s="484"/>
      <c r="Y153" s="484"/>
      <c r="Z153" s="484"/>
      <c r="AA153" s="484"/>
      <c r="AB153" s="484"/>
      <c r="AC153" s="484"/>
      <c r="AD153" s="484"/>
      <c r="AE153" s="484"/>
      <c r="AF153" s="484"/>
      <c r="AG153" s="484"/>
      <c r="AH153" s="484"/>
      <c r="AI153" s="484"/>
      <c r="AJ153" s="484"/>
      <c r="AK153" s="484"/>
      <c r="AL153" s="484"/>
      <c r="AM153" s="484"/>
    </row>
    <row r="154" spans="1:39" ht="15.75" customHeight="1" x14ac:dyDescent="0.35">
      <c r="A154" s="484"/>
      <c r="B154" s="484"/>
      <c r="C154" s="484"/>
      <c r="D154" s="484"/>
      <c r="E154" s="484"/>
      <c r="F154" s="484"/>
      <c r="G154" s="484"/>
      <c r="H154" s="484"/>
      <c r="I154" s="1084"/>
      <c r="J154" s="484"/>
      <c r="K154" s="484"/>
      <c r="L154" s="484"/>
      <c r="M154" s="484"/>
      <c r="N154" s="484"/>
      <c r="O154" s="484"/>
      <c r="P154" s="484"/>
      <c r="Q154" s="484"/>
      <c r="R154" s="484"/>
      <c r="S154" s="484"/>
      <c r="T154" s="484"/>
      <c r="U154" s="484"/>
      <c r="V154" s="484"/>
      <c r="W154" s="484"/>
      <c r="X154" s="484"/>
      <c r="Y154" s="484"/>
      <c r="Z154" s="484"/>
      <c r="AA154" s="484"/>
      <c r="AB154" s="484"/>
      <c r="AC154" s="484"/>
      <c r="AD154" s="484"/>
      <c r="AE154" s="484"/>
      <c r="AF154" s="484"/>
      <c r="AG154" s="484"/>
      <c r="AH154" s="484"/>
      <c r="AI154" s="484"/>
      <c r="AJ154" s="484"/>
      <c r="AK154" s="484"/>
      <c r="AL154" s="484"/>
      <c r="AM154" s="484"/>
    </row>
    <row r="155" spans="1:39" ht="15.75" customHeight="1" x14ac:dyDescent="0.35">
      <c r="A155" s="484"/>
      <c r="B155" s="484"/>
      <c r="C155" s="484"/>
      <c r="D155" s="484"/>
      <c r="E155" s="484"/>
      <c r="F155" s="484"/>
      <c r="G155" s="484"/>
      <c r="H155" s="484"/>
      <c r="I155" s="1084"/>
      <c r="J155" s="484"/>
      <c r="K155" s="484"/>
      <c r="L155" s="484"/>
      <c r="M155" s="484"/>
      <c r="N155" s="484"/>
      <c r="O155" s="484"/>
      <c r="P155" s="484"/>
      <c r="Q155" s="484"/>
      <c r="R155" s="484"/>
      <c r="S155" s="484"/>
      <c r="T155" s="484"/>
      <c r="U155" s="484"/>
      <c r="V155" s="484"/>
      <c r="W155" s="484"/>
      <c r="X155" s="484"/>
      <c r="Y155" s="484"/>
      <c r="Z155" s="484"/>
      <c r="AA155" s="484"/>
      <c r="AB155" s="484"/>
      <c r="AC155" s="484"/>
      <c r="AD155" s="484"/>
      <c r="AE155" s="484"/>
      <c r="AF155" s="484"/>
      <c r="AG155" s="484"/>
      <c r="AH155" s="484"/>
      <c r="AI155" s="484"/>
      <c r="AJ155" s="484"/>
      <c r="AK155" s="484"/>
      <c r="AL155" s="484"/>
      <c r="AM155" s="484"/>
    </row>
    <row r="156" spans="1:39" ht="15.75" customHeight="1" x14ac:dyDescent="0.35">
      <c r="A156" s="484"/>
      <c r="B156" s="484"/>
      <c r="C156" s="484"/>
      <c r="D156" s="484"/>
      <c r="E156" s="484"/>
      <c r="F156" s="484"/>
      <c r="G156" s="484"/>
      <c r="H156" s="484"/>
      <c r="I156" s="1084"/>
      <c r="J156" s="484"/>
      <c r="K156" s="484"/>
      <c r="L156" s="484"/>
      <c r="M156" s="484"/>
      <c r="N156" s="484"/>
      <c r="O156" s="484"/>
      <c r="P156" s="484"/>
      <c r="Q156" s="484"/>
      <c r="R156" s="484"/>
      <c r="S156" s="484"/>
      <c r="T156" s="484"/>
      <c r="U156" s="484"/>
      <c r="V156" s="484"/>
      <c r="W156" s="484"/>
      <c r="X156" s="484"/>
      <c r="Y156" s="484"/>
      <c r="Z156" s="484"/>
      <c r="AA156" s="484"/>
      <c r="AB156" s="484"/>
      <c r="AC156" s="484"/>
      <c r="AD156" s="484"/>
      <c r="AE156" s="484"/>
      <c r="AF156" s="484"/>
      <c r="AG156" s="484"/>
      <c r="AH156" s="484"/>
      <c r="AI156" s="484"/>
      <c r="AJ156" s="484"/>
      <c r="AK156" s="484"/>
      <c r="AL156" s="484"/>
      <c r="AM156" s="484"/>
    </row>
    <row r="157" spans="1:39" ht="15.75" customHeight="1" x14ac:dyDescent="0.35">
      <c r="A157" s="484"/>
      <c r="B157" s="484"/>
      <c r="C157" s="484"/>
      <c r="D157" s="484"/>
      <c r="E157" s="484"/>
      <c r="F157" s="484"/>
      <c r="G157" s="484"/>
      <c r="H157" s="484"/>
      <c r="I157" s="1084"/>
      <c r="J157" s="484"/>
      <c r="K157" s="484"/>
      <c r="L157" s="484"/>
      <c r="M157" s="484"/>
      <c r="N157" s="484"/>
      <c r="O157" s="484"/>
      <c r="P157" s="484"/>
      <c r="Q157" s="484"/>
      <c r="R157" s="484"/>
      <c r="S157" s="484"/>
      <c r="T157" s="484"/>
      <c r="U157" s="484"/>
      <c r="V157" s="484"/>
      <c r="W157" s="484"/>
      <c r="X157" s="484"/>
      <c r="Y157" s="484"/>
      <c r="Z157" s="484"/>
      <c r="AA157" s="484"/>
      <c r="AB157" s="484"/>
      <c r="AC157" s="484"/>
      <c r="AD157" s="484"/>
      <c r="AE157" s="484"/>
      <c r="AF157" s="484"/>
      <c r="AG157" s="484"/>
      <c r="AH157" s="484"/>
      <c r="AI157" s="484"/>
      <c r="AJ157" s="484"/>
      <c r="AK157" s="484"/>
      <c r="AL157" s="484"/>
      <c r="AM157" s="484"/>
    </row>
    <row r="158" spans="1:39" ht="15.75" customHeight="1" x14ac:dyDescent="0.35">
      <c r="A158" s="484"/>
      <c r="B158" s="484"/>
      <c r="C158" s="484"/>
      <c r="D158" s="484"/>
      <c r="E158" s="484"/>
      <c r="F158" s="484"/>
      <c r="G158" s="484"/>
      <c r="H158" s="484"/>
      <c r="I158" s="1084"/>
      <c r="J158" s="484"/>
      <c r="K158" s="484"/>
      <c r="L158" s="484"/>
      <c r="M158" s="484"/>
      <c r="N158" s="484"/>
      <c r="O158" s="484"/>
      <c r="P158" s="484"/>
      <c r="Q158" s="484"/>
      <c r="R158" s="484"/>
      <c r="S158" s="484"/>
      <c r="T158" s="484"/>
      <c r="U158" s="484"/>
      <c r="V158" s="484"/>
      <c r="W158" s="484"/>
      <c r="X158" s="484"/>
      <c r="Y158" s="484"/>
      <c r="Z158" s="484"/>
      <c r="AA158" s="484"/>
      <c r="AB158" s="484"/>
      <c r="AC158" s="484"/>
      <c r="AD158" s="484"/>
      <c r="AE158" s="484"/>
      <c r="AF158" s="484"/>
      <c r="AG158" s="484"/>
      <c r="AH158" s="484"/>
      <c r="AI158" s="484"/>
      <c r="AJ158" s="484"/>
      <c r="AK158" s="484"/>
      <c r="AL158" s="484"/>
      <c r="AM158" s="484"/>
    </row>
    <row r="159" spans="1:39" ht="15.75" customHeight="1" x14ac:dyDescent="0.35">
      <c r="A159" s="484"/>
      <c r="B159" s="484"/>
      <c r="C159" s="484"/>
      <c r="D159" s="484"/>
      <c r="E159" s="484"/>
      <c r="F159" s="484"/>
      <c r="G159" s="484"/>
      <c r="H159" s="484"/>
      <c r="I159" s="1084"/>
      <c r="J159" s="484"/>
      <c r="K159" s="484"/>
      <c r="L159" s="484"/>
      <c r="M159" s="484"/>
      <c r="N159" s="484"/>
      <c r="O159" s="484"/>
      <c r="P159" s="484"/>
      <c r="Q159" s="484"/>
      <c r="R159" s="484"/>
      <c r="S159" s="484"/>
      <c r="T159" s="484"/>
      <c r="U159" s="484"/>
      <c r="V159" s="484"/>
      <c r="W159" s="484"/>
      <c r="X159" s="484"/>
      <c r="Y159" s="484"/>
      <c r="Z159" s="484"/>
      <c r="AA159" s="484"/>
      <c r="AB159" s="484"/>
      <c r="AC159" s="484"/>
      <c r="AD159" s="484"/>
      <c r="AE159" s="484"/>
      <c r="AF159" s="484"/>
      <c r="AG159" s="484"/>
      <c r="AH159" s="484"/>
      <c r="AI159" s="484"/>
      <c r="AJ159" s="484"/>
      <c r="AK159" s="484"/>
      <c r="AL159" s="484"/>
      <c r="AM159" s="484"/>
    </row>
    <row r="160" spans="1:39" ht="15.75" customHeight="1" x14ac:dyDescent="0.35">
      <c r="A160" s="484"/>
      <c r="B160" s="484"/>
      <c r="C160" s="484"/>
      <c r="D160" s="484"/>
      <c r="E160" s="484"/>
      <c r="F160" s="484"/>
      <c r="G160" s="484"/>
      <c r="H160" s="484"/>
      <c r="I160" s="1084"/>
      <c r="J160" s="484"/>
      <c r="K160" s="484"/>
      <c r="L160" s="484"/>
      <c r="M160" s="484"/>
      <c r="N160" s="484"/>
      <c r="O160" s="484"/>
      <c r="P160" s="484"/>
      <c r="Q160" s="484"/>
      <c r="R160" s="484"/>
      <c r="S160" s="484"/>
      <c r="T160" s="484"/>
      <c r="U160" s="484"/>
      <c r="V160" s="484"/>
      <c r="W160" s="484"/>
      <c r="X160" s="484"/>
      <c r="Y160" s="484"/>
      <c r="Z160" s="484"/>
      <c r="AA160" s="484"/>
      <c r="AB160" s="484"/>
      <c r="AC160" s="484"/>
      <c r="AD160" s="484"/>
      <c r="AE160" s="484"/>
      <c r="AF160" s="484"/>
      <c r="AG160" s="484"/>
      <c r="AH160" s="484"/>
      <c r="AI160" s="484"/>
      <c r="AJ160" s="484"/>
      <c r="AK160" s="484"/>
      <c r="AL160" s="484"/>
      <c r="AM160" s="484"/>
    </row>
    <row r="161" spans="1:39" ht="15.75" customHeight="1" x14ac:dyDescent="0.35">
      <c r="A161" s="484"/>
      <c r="B161" s="484"/>
      <c r="C161" s="484"/>
      <c r="D161" s="484"/>
      <c r="E161" s="484"/>
      <c r="F161" s="484"/>
      <c r="G161" s="484"/>
      <c r="H161" s="484"/>
      <c r="I161" s="1084"/>
      <c r="J161" s="484"/>
      <c r="K161" s="484"/>
      <c r="L161" s="484"/>
      <c r="M161" s="484"/>
      <c r="N161" s="484"/>
      <c r="O161" s="484"/>
      <c r="P161" s="484"/>
      <c r="Q161" s="484"/>
      <c r="R161" s="484"/>
      <c r="S161" s="484"/>
      <c r="T161" s="484"/>
      <c r="U161" s="484"/>
      <c r="V161" s="484"/>
      <c r="W161" s="484"/>
      <c r="X161" s="484"/>
      <c r="Y161" s="484"/>
      <c r="Z161" s="484"/>
      <c r="AA161" s="484"/>
      <c r="AB161" s="484"/>
      <c r="AC161" s="484"/>
      <c r="AD161" s="484"/>
      <c r="AE161" s="484"/>
      <c r="AF161" s="484"/>
      <c r="AG161" s="484"/>
      <c r="AH161" s="484"/>
      <c r="AI161" s="484"/>
      <c r="AJ161" s="484"/>
      <c r="AK161" s="484"/>
      <c r="AL161" s="484"/>
      <c r="AM161" s="484"/>
    </row>
    <row r="162" spans="1:39" ht="15.75" customHeight="1" x14ac:dyDescent="0.35">
      <c r="A162" s="484"/>
      <c r="B162" s="484"/>
      <c r="C162" s="484"/>
      <c r="D162" s="484"/>
      <c r="E162" s="484"/>
      <c r="F162" s="484"/>
      <c r="G162" s="484"/>
      <c r="H162" s="484"/>
      <c r="I162" s="1084"/>
      <c r="J162" s="484"/>
      <c r="K162" s="484"/>
      <c r="L162" s="484"/>
      <c r="M162" s="484"/>
      <c r="N162" s="484"/>
      <c r="O162" s="484"/>
      <c r="P162" s="484"/>
      <c r="Q162" s="484"/>
      <c r="R162" s="484"/>
      <c r="S162" s="484"/>
      <c r="T162" s="484"/>
      <c r="U162" s="484"/>
      <c r="V162" s="484"/>
      <c r="W162" s="484"/>
      <c r="X162" s="484"/>
      <c r="Y162" s="484"/>
      <c r="Z162" s="484"/>
      <c r="AA162" s="484"/>
      <c r="AB162" s="484"/>
      <c r="AC162" s="484"/>
      <c r="AD162" s="484"/>
      <c r="AE162" s="484"/>
      <c r="AF162" s="484"/>
      <c r="AG162" s="484"/>
      <c r="AH162" s="484"/>
      <c r="AI162" s="484"/>
      <c r="AJ162" s="484"/>
      <c r="AK162" s="484"/>
      <c r="AL162" s="484"/>
      <c r="AM162" s="484"/>
    </row>
    <row r="163" spans="1:39" ht="15.75" customHeight="1" x14ac:dyDescent="0.35">
      <c r="A163" s="484"/>
      <c r="B163" s="484"/>
      <c r="C163" s="484"/>
      <c r="D163" s="484"/>
      <c r="E163" s="484"/>
      <c r="F163" s="484"/>
      <c r="G163" s="484"/>
      <c r="H163" s="484"/>
      <c r="I163" s="1084"/>
      <c r="J163" s="484"/>
      <c r="K163" s="484"/>
      <c r="L163" s="484"/>
      <c r="M163" s="484"/>
      <c r="N163" s="484"/>
      <c r="O163" s="484"/>
      <c r="P163" s="484"/>
      <c r="Q163" s="484"/>
      <c r="R163" s="484"/>
      <c r="S163" s="484"/>
      <c r="T163" s="484"/>
      <c r="U163" s="484"/>
      <c r="V163" s="484"/>
      <c r="W163" s="484"/>
      <c r="X163" s="484"/>
      <c r="Y163" s="484"/>
      <c r="Z163" s="484"/>
      <c r="AA163" s="484"/>
      <c r="AB163" s="484"/>
      <c r="AC163" s="484"/>
      <c r="AD163" s="484"/>
      <c r="AE163" s="484"/>
      <c r="AF163" s="484"/>
      <c r="AG163" s="484"/>
      <c r="AH163" s="484"/>
      <c r="AI163" s="484"/>
      <c r="AJ163" s="484"/>
      <c r="AK163" s="484"/>
      <c r="AL163" s="484"/>
      <c r="AM163" s="484"/>
    </row>
    <row r="164" spans="1:39" ht="15.75" customHeight="1" x14ac:dyDescent="0.35">
      <c r="A164" s="484"/>
      <c r="B164" s="484"/>
      <c r="C164" s="484"/>
      <c r="D164" s="484"/>
      <c r="E164" s="484"/>
      <c r="F164" s="484"/>
      <c r="G164" s="484"/>
      <c r="H164" s="484"/>
      <c r="I164" s="1084"/>
      <c r="J164" s="484"/>
      <c r="K164" s="484"/>
      <c r="L164" s="484"/>
      <c r="M164" s="484"/>
      <c r="N164" s="484"/>
      <c r="O164" s="484"/>
      <c r="P164" s="484"/>
      <c r="Q164" s="484"/>
      <c r="R164" s="484"/>
      <c r="S164" s="484"/>
      <c r="T164" s="484"/>
      <c r="U164" s="484"/>
      <c r="V164" s="484"/>
      <c r="W164" s="484"/>
      <c r="X164" s="484"/>
      <c r="Y164" s="484"/>
      <c r="Z164" s="484"/>
      <c r="AA164" s="484"/>
      <c r="AB164" s="484"/>
      <c r="AC164" s="484"/>
      <c r="AD164" s="484"/>
      <c r="AE164" s="484"/>
      <c r="AF164" s="484"/>
      <c r="AG164" s="484"/>
      <c r="AH164" s="484"/>
      <c r="AI164" s="484"/>
      <c r="AJ164" s="484"/>
      <c r="AK164" s="484"/>
      <c r="AL164" s="484"/>
      <c r="AM164" s="484"/>
    </row>
    <row r="165" spans="1:39" ht="15.75" customHeight="1" x14ac:dyDescent="0.35">
      <c r="A165" s="484"/>
      <c r="B165" s="484"/>
      <c r="C165" s="484"/>
      <c r="D165" s="484"/>
      <c r="E165" s="484"/>
      <c r="F165" s="484"/>
      <c r="G165" s="484"/>
      <c r="H165" s="484"/>
      <c r="I165" s="1084"/>
      <c r="J165" s="484"/>
      <c r="K165" s="484"/>
      <c r="L165" s="484"/>
      <c r="M165" s="484"/>
      <c r="N165" s="484"/>
      <c r="O165" s="484"/>
      <c r="P165" s="484"/>
      <c r="Q165" s="484"/>
      <c r="R165" s="484"/>
      <c r="S165" s="484"/>
      <c r="T165" s="484"/>
      <c r="U165" s="484"/>
      <c r="V165" s="484"/>
      <c r="W165" s="484"/>
      <c r="X165" s="484"/>
      <c r="Y165" s="484"/>
      <c r="Z165" s="484"/>
      <c r="AA165" s="484"/>
      <c r="AB165" s="484"/>
      <c r="AC165" s="484"/>
      <c r="AD165" s="484"/>
      <c r="AE165" s="484"/>
      <c r="AF165" s="484"/>
      <c r="AG165" s="484"/>
      <c r="AH165" s="484"/>
      <c r="AI165" s="484"/>
      <c r="AJ165" s="484"/>
      <c r="AK165" s="484"/>
      <c r="AL165" s="484"/>
      <c r="AM165" s="484"/>
    </row>
    <row r="166" spans="1:39" ht="15.75" customHeight="1" x14ac:dyDescent="0.35">
      <c r="A166" s="484"/>
      <c r="B166" s="484"/>
      <c r="C166" s="484"/>
      <c r="D166" s="484"/>
      <c r="E166" s="484"/>
      <c r="F166" s="484"/>
      <c r="G166" s="484"/>
      <c r="H166" s="484"/>
      <c r="I166" s="1084"/>
      <c r="J166" s="484"/>
      <c r="K166" s="484"/>
      <c r="L166" s="484"/>
      <c r="M166" s="484"/>
      <c r="N166" s="484"/>
      <c r="O166" s="484"/>
      <c r="P166" s="484"/>
      <c r="Q166" s="484"/>
      <c r="R166" s="484"/>
      <c r="S166" s="484"/>
      <c r="T166" s="484"/>
      <c r="U166" s="484"/>
      <c r="V166" s="484"/>
      <c r="W166" s="484"/>
      <c r="X166" s="484"/>
      <c r="Y166" s="484"/>
      <c r="Z166" s="484"/>
      <c r="AA166" s="484"/>
      <c r="AB166" s="484"/>
      <c r="AC166" s="484"/>
      <c r="AD166" s="484"/>
      <c r="AE166" s="484"/>
      <c r="AF166" s="484"/>
      <c r="AG166" s="484"/>
      <c r="AH166" s="484"/>
      <c r="AI166" s="484"/>
      <c r="AJ166" s="484"/>
      <c r="AK166" s="484"/>
      <c r="AL166" s="484"/>
      <c r="AM166" s="484"/>
    </row>
    <row r="167" spans="1:39" ht="15.75" customHeight="1" x14ac:dyDescent="0.35">
      <c r="A167" s="484"/>
      <c r="B167" s="484"/>
      <c r="C167" s="484"/>
      <c r="D167" s="484"/>
      <c r="E167" s="484"/>
      <c r="F167" s="484"/>
      <c r="G167" s="484"/>
      <c r="H167" s="484"/>
      <c r="I167" s="1084"/>
      <c r="J167" s="484"/>
      <c r="K167" s="484"/>
      <c r="L167" s="484"/>
      <c r="M167" s="484"/>
      <c r="N167" s="484"/>
      <c r="O167" s="484"/>
      <c r="P167" s="484"/>
      <c r="Q167" s="484"/>
      <c r="R167" s="484"/>
      <c r="S167" s="484"/>
      <c r="T167" s="484"/>
      <c r="U167" s="484"/>
      <c r="V167" s="484"/>
      <c r="W167" s="484"/>
      <c r="X167" s="484"/>
      <c r="Y167" s="484"/>
      <c r="Z167" s="484"/>
      <c r="AA167" s="484"/>
      <c r="AB167" s="484"/>
      <c r="AC167" s="484"/>
      <c r="AD167" s="484"/>
      <c r="AE167" s="484"/>
      <c r="AF167" s="484"/>
      <c r="AG167" s="484"/>
      <c r="AH167" s="484"/>
      <c r="AI167" s="484"/>
      <c r="AJ167" s="484"/>
      <c r="AK167" s="484"/>
      <c r="AL167" s="484"/>
      <c r="AM167" s="484"/>
    </row>
    <row r="168" spans="1:39" ht="15.75" customHeight="1" x14ac:dyDescent="0.35">
      <c r="A168" s="484"/>
      <c r="B168" s="484"/>
      <c r="C168" s="484"/>
      <c r="D168" s="484"/>
      <c r="E168" s="484"/>
      <c r="F168" s="484"/>
      <c r="G168" s="484"/>
      <c r="H168" s="484"/>
      <c r="I168" s="1084"/>
      <c r="J168" s="484"/>
      <c r="K168" s="484"/>
      <c r="L168" s="484"/>
      <c r="M168" s="484"/>
      <c r="N168" s="484"/>
      <c r="O168" s="484"/>
      <c r="P168" s="484"/>
      <c r="Q168" s="484"/>
      <c r="R168" s="484"/>
      <c r="S168" s="484"/>
      <c r="T168" s="484"/>
      <c r="U168" s="484"/>
      <c r="V168" s="484"/>
      <c r="W168" s="484"/>
      <c r="X168" s="484"/>
      <c r="Y168" s="484"/>
      <c r="Z168" s="484"/>
      <c r="AA168" s="484"/>
      <c r="AB168" s="484"/>
      <c r="AC168" s="484"/>
      <c r="AD168" s="484"/>
      <c r="AE168" s="484"/>
      <c r="AF168" s="484"/>
      <c r="AG168" s="484"/>
      <c r="AH168" s="484"/>
      <c r="AI168" s="484"/>
      <c r="AJ168" s="484"/>
      <c r="AK168" s="484"/>
      <c r="AL168" s="484"/>
      <c r="AM168" s="484"/>
    </row>
    <row r="169" spans="1:39" ht="15.75" customHeight="1" x14ac:dyDescent="0.35">
      <c r="A169" s="484"/>
      <c r="B169" s="484"/>
      <c r="C169" s="484"/>
      <c r="D169" s="484"/>
      <c r="E169" s="484"/>
      <c r="F169" s="484"/>
      <c r="G169" s="484"/>
      <c r="H169" s="484"/>
      <c r="I169" s="1084"/>
      <c r="J169" s="484"/>
      <c r="K169" s="484"/>
      <c r="L169" s="484"/>
      <c r="M169" s="484"/>
      <c r="N169" s="484"/>
      <c r="O169" s="484"/>
      <c r="P169" s="484"/>
      <c r="Q169" s="484"/>
      <c r="R169" s="484"/>
      <c r="S169" s="484"/>
      <c r="T169" s="484"/>
      <c r="U169" s="484"/>
      <c r="V169" s="484"/>
      <c r="W169" s="484"/>
      <c r="X169" s="484"/>
      <c r="Y169" s="484"/>
      <c r="Z169" s="484"/>
      <c r="AA169" s="484"/>
      <c r="AB169" s="484"/>
      <c r="AC169" s="484"/>
      <c r="AD169" s="484"/>
      <c r="AE169" s="484"/>
      <c r="AF169" s="484"/>
      <c r="AG169" s="484"/>
      <c r="AH169" s="484"/>
      <c r="AI169" s="484"/>
      <c r="AJ169" s="484"/>
      <c r="AK169" s="484"/>
      <c r="AL169" s="484"/>
      <c r="AM169" s="484"/>
    </row>
    <row r="170" spans="1:39" ht="15.75" customHeight="1" x14ac:dyDescent="0.35">
      <c r="A170" s="484"/>
      <c r="B170" s="484"/>
      <c r="C170" s="484"/>
      <c r="D170" s="484"/>
      <c r="E170" s="484"/>
      <c r="F170" s="484"/>
      <c r="G170" s="484"/>
      <c r="H170" s="484"/>
      <c r="I170" s="1084"/>
      <c r="J170" s="484"/>
      <c r="K170" s="484"/>
      <c r="L170" s="484"/>
      <c r="M170" s="484"/>
      <c r="N170" s="484"/>
      <c r="O170" s="484"/>
      <c r="P170" s="484"/>
      <c r="Q170" s="484"/>
      <c r="R170" s="484"/>
      <c r="S170" s="484"/>
      <c r="T170" s="484"/>
      <c r="U170" s="484"/>
      <c r="V170" s="484"/>
      <c r="W170" s="484"/>
      <c r="X170" s="484"/>
      <c r="Y170" s="484"/>
      <c r="Z170" s="484"/>
      <c r="AA170" s="484"/>
      <c r="AB170" s="484"/>
      <c r="AC170" s="484"/>
      <c r="AD170" s="484"/>
      <c r="AE170" s="484"/>
      <c r="AF170" s="484"/>
      <c r="AG170" s="484"/>
      <c r="AH170" s="484"/>
      <c r="AI170" s="484"/>
      <c r="AJ170" s="484"/>
      <c r="AK170" s="484"/>
      <c r="AL170" s="484"/>
      <c r="AM170" s="484"/>
    </row>
    <row r="171" spans="1:39" ht="15.75" customHeight="1" x14ac:dyDescent="0.35">
      <c r="A171" s="484"/>
      <c r="B171" s="484"/>
      <c r="C171" s="484"/>
      <c r="D171" s="484"/>
      <c r="E171" s="484"/>
      <c r="F171" s="484"/>
      <c r="G171" s="484"/>
      <c r="H171" s="484"/>
      <c r="I171" s="1084"/>
      <c r="J171" s="484"/>
      <c r="K171" s="484"/>
      <c r="L171" s="484"/>
      <c r="M171" s="484"/>
      <c r="N171" s="484"/>
      <c r="O171" s="484"/>
      <c r="P171" s="484"/>
      <c r="Q171" s="484"/>
      <c r="R171" s="484"/>
      <c r="S171" s="484"/>
      <c r="T171" s="484"/>
      <c r="U171" s="484"/>
      <c r="V171" s="484"/>
      <c r="W171" s="484"/>
      <c r="X171" s="484"/>
      <c r="Y171" s="484"/>
      <c r="Z171" s="484"/>
      <c r="AA171" s="484"/>
      <c r="AB171" s="484"/>
      <c r="AC171" s="484"/>
      <c r="AD171" s="484"/>
      <c r="AE171" s="484"/>
      <c r="AF171" s="484"/>
      <c r="AG171" s="484"/>
      <c r="AH171" s="484"/>
      <c r="AI171" s="484"/>
      <c r="AJ171" s="484"/>
      <c r="AK171" s="484"/>
      <c r="AL171" s="484"/>
      <c r="AM171" s="484"/>
    </row>
    <row r="172" spans="1:39" ht="15.75" customHeight="1" x14ac:dyDescent="0.35">
      <c r="A172" s="484"/>
      <c r="B172" s="484"/>
      <c r="C172" s="484"/>
      <c r="D172" s="484"/>
      <c r="E172" s="484"/>
      <c r="F172" s="484"/>
      <c r="G172" s="484"/>
      <c r="H172" s="484"/>
      <c r="I172" s="1084"/>
      <c r="J172" s="484"/>
      <c r="K172" s="484"/>
      <c r="L172" s="484"/>
      <c r="M172" s="484"/>
      <c r="N172" s="484"/>
      <c r="O172" s="484"/>
      <c r="P172" s="484"/>
      <c r="Q172" s="484"/>
      <c r="R172" s="484"/>
      <c r="S172" s="484"/>
      <c r="T172" s="484"/>
      <c r="U172" s="484"/>
      <c r="V172" s="484"/>
      <c r="W172" s="484"/>
      <c r="X172" s="484"/>
      <c r="Y172" s="484"/>
      <c r="Z172" s="484"/>
      <c r="AA172" s="484"/>
      <c r="AB172" s="484"/>
      <c r="AC172" s="484"/>
      <c r="AD172" s="484"/>
      <c r="AE172" s="484"/>
      <c r="AF172" s="484"/>
      <c r="AG172" s="484"/>
      <c r="AH172" s="484"/>
      <c r="AI172" s="484"/>
      <c r="AJ172" s="484"/>
      <c r="AK172" s="484"/>
      <c r="AL172" s="484"/>
      <c r="AM172" s="484"/>
    </row>
    <row r="173" spans="1:39" ht="15.75" customHeight="1" x14ac:dyDescent="0.35">
      <c r="A173" s="484"/>
      <c r="B173" s="484"/>
      <c r="C173" s="484"/>
      <c r="D173" s="484"/>
      <c r="E173" s="484"/>
      <c r="F173" s="484"/>
      <c r="G173" s="484"/>
      <c r="H173" s="484"/>
      <c r="I173" s="1084"/>
      <c r="J173" s="484"/>
      <c r="K173" s="484"/>
      <c r="L173" s="484"/>
      <c r="M173" s="484"/>
      <c r="N173" s="484"/>
      <c r="O173" s="484"/>
      <c r="P173" s="484"/>
      <c r="Q173" s="484"/>
      <c r="R173" s="484"/>
      <c r="S173" s="484"/>
      <c r="T173" s="484"/>
      <c r="U173" s="484"/>
      <c r="V173" s="484"/>
      <c r="W173" s="484"/>
      <c r="X173" s="484"/>
      <c r="Y173" s="484"/>
      <c r="Z173" s="484"/>
      <c r="AA173" s="484"/>
      <c r="AB173" s="484"/>
      <c r="AC173" s="484"/>
      <c r="AD173" s="484"/>
      <c r="AE173" s="484"/>
      <c r="AF173" s="484"/>
      <c r="AG173" s="484"/>
      <c r="AH173" s="484"/>
      <c r="AI173" s="484"/>
      <c r="AJ173" s="484"/>
      <c r="AK173" s="484"/>
      <c r="AL173" s="484"/>
      <c r="AM173" s="484"/>
    </row>
    <row r="174" spans="1:39" ht="15.75" customHeight="1" x14ac:dyDescent="0.35">
      <c r="A174" s="484"/>
      <c r="B174" s="484"/>
      <c r="C174" s="484"/>
      <c r="D174" s="484"/>
      <c r="E174" s="484"/>
      <c r="F174" s="484"/>
      <c r="G174" s="484"/>
      <c r="H174" s="484"/>
      <c r="I174" s="1084"/>
      <c r="J174" s="484"/>
      <c r="K174" s="484"/>
      <c r="L174" s="484"/>
      <c r="M174" s="484"/>
      <c r="N174" s="484"/>
      <c r="O174" s="484"/>
      <c r="P174" s="484"/>
      <c r="Q174" s="484"/>
      <c r="R174" s="484"/>
      <c r="S174" s="484"/>
      <c r="T174" s="484"/>
      <c r="U174" s="484"/>
      <c r="V174" s="484"/>
      <c r="W174" s="484"/>
      <c r="X174" s="484"/>
      <c r="Y174" s="484"/>
      <c r="Z174" s="484"/>
      <c r="AA174" s="484"/>
      <c r="AB174" s="484"/>
      <c r="AC174" s="484"/>
      <c r="AD174" s="484"/>
      <c r="AE174" s="484"/>
      <c r="AF174" s="484"/>
      <c r="AG174" s="484"/>
      <c r="AH174" s="484"/>
      <c r="AI174" s="484"/>
      <c r="AJ174" s="484"/>
      <c r="AK174" s="484"/>
      <c r="AL174" s="484"/>
      <c r="AM174" s="484"/>
    </row>
    <row r="175" spans="1:39" ht="15.75" customHeight="1" x14ac:dyDescent="0.35">
      <c r="A175" s="484"/>
      <c r="B175" s="484"/>
      <c r="C175" s="484"/>
      <c r="D175" s="484"/>
      <c r="E175" s="484"/>
      <c r="F175" s="484"/>
      <c r="G175" s="484"/>
      <c r="H175" s="484"/>
      <c r="I175" s="1084"/>
      <c r="J175" s="484"/>
      <c r="K175" s="484"/>
      <c r="L175" s="484"/>
      <c r="M175" s="484"/>
      <c r="N175" s="484"/>
      <c r="O175" s="484"/>
      <c r="P175" s="484"/>
      <c r="Q175" s="484"/>
      <c r="R175" s="484"/>
      <c r="S175" s="484"/>
      <c r="T175" s="484"/>
      <c r="U175" s="484"/>
      <c r="V175" s="484"/>
      <c r="W175" s="484"/>
      <c r="X175" s="484"/>
      <c r="Y175" s="484"/>
      <c r="Z175" s="484"/>
      <c r="AA175" s="484"/>
      <c r="AB175" s="484"/>
      <c r="AC175" s="484"/>
      <c r="AD175" s="484"/>
      <c r="AE175" s="484"/>
      <c r="AF175" s="484"/>
      <c r="AG175" s="484"/>
      <c r="AH175" s="484"/>
      <c r="AI175" s="484"/>
      <c r="AJ175" s="484"/>
      <c r="AK175" s="484"/>
      <c r="AL175" s="484"/>
      <c r="AM175" s="484"/>
    </row>
    <row r="176" spans="1:39" ht="15.75" customHeight="1" x14ac:dyDescent="0.35">
      <c r="A176" s="484"/>
      <c r="B176" s="484"/>
      <c r="C176" s="484"/>
      <c r="D176" s="484"/>
      <c r="E176" s="484"/>
      <c r="F176" s="484"/>
      <c r="G176" s="484"/>
      <c r="H176" s="484"/>
      <c r="I176" s="1084"/>
      <c r="J176" s="484"/>
      <c r="K176" s="484"/>
      <c r="L176" s="484"/>
      <c r="M176" s="484"/>
      <c r="N176" s="484"/>
      <c r="O176" s="484"/>
      <c r="P176" s="484"/>
      <c r="Q176" s="484"/>
      <c r="R176" s="484"/>
      <c r="S176" s="484"/>
      <c r="T176" s="484"/>
      <c r="U176" s="484"/>
      <c r="V176" s="484"/>
      <c r="W176" s="484"/>
      <c r="X176" s="484"/>
      <c r="Y176" s="484"/>
      <c r="Z176" s="484"/>
      <c r="AA176" s="484"/>
      <c r="AB176" s="484"/>
      <c r="AC176" s="484"/>
      <c r="AD176" s="484"/>
      <c r="AE176" s="484"/>
      <c r="AF176" s="484"/>
      <c r="AG176" s="484"/>
      <c r="AH176" s="484"/>
      <c r="AI176" s="484"/>
      <c r="AJ176" s="484"/>
      <c r="AK176" s="484"/>
      <c r="AL176" s="484"/>
      <c r="AM176" s="484"/>
    </row>
    <row r="177" spans="1:39" ht="15.75" customHeight="1" x14ac:dyDescent="0.35">
      <c r="A177" s="484"/>
      <c r="B177" s="484"/>
      <c r="C177" s="484"/>
      <c r="D177" s="484"/>
      <c r="E177" s="484"/>
      <c r="F177" s="484"/>
      <c r="G177" s="484"/>
      <c r="H177" s="484"/>
      <c r="I177" s="1084"/>
      <c r="J177" s="484"/>
      <c r="K177" s="484"/>
      <c r="L177" s="484"/>
      <c r="M177" s="484"/>
      <c r="N177" s="484"/>
      <c r="O177" s="484"/>
      <c r="P177" s="484"/>
      <c r="Q177" s="484"/>
      <c r="R177" s="484"/>
      <c r="S177" s="484"/>
      <c r="T177" s="484"/>
      <c r="U177" s="484"/>
      <c r="V177" s="484"/>
      <c r="W177" s="484"/>
      <c r="X177" s="484"/>
      <c r="Y177" s="484"/>
      <c r="Z177" s="484"/>
      <c r="AA177" s="484"/>
      <c r="AB177" s="484"/>
      <c r="AC177" s="484"/>
      <c r="AD177" s="484"/>
      <c r="AE177" s="484"/>
      <c r="AF177" s="484"/>
      <c r="AG177" s="484"/>
      <c r="AH177" s="484"/>
      <c r="AI177" s="484"/>
      <c r="AJ177" s="484"/>
      <c r="AK177" s="484"/>
      <c r="AL177" s="484"/>
      <c r="AM177" s="484"/>
    </row>
    <row r="178" spans="1:39" ht="15.75" customHeight="1" x14ac:dyDescent="0.35">
      <c r="A178" s="484"/>
      <c r="B178" s="484"/>
      <c r="C178" s="484"/>
      <c r="D178" s="484"/>
      <c r="E178" s="484"/>
      <c r="F178" s="484"/>
      <c r="G178" s="484"/>
      <c r="H178" s="484"/>
      <c r="I178" s="1084"/>
      <c r="J178" s="484"/>
      <c r="K178" s="484"/>
      <c r="L178" s="484"/>
      <c r="M178" s="484"/>
      <c r="N178" s="484"/>
      <c r="O178" s="484"/>
      <c r="P178" s="484"/>
      <c r="Q178" s="484"/>
      <c r="R178" s="484"/>
      <c r="S178" s="484"/>
      <c r="T178" s="484"/>
      <c r="U178" s="484"/>
      <c r="V178" s="484"/>
      <c r="W178" s="484"/>
      <c r="X178" s="484"/>
      <c r="Y178" s="484"/>
      <c r="Z178" s="484"/>
      <c r="AA178" s="484"/>
      <c r="AB178" s="484"/>
      <c r="AC178" s="484"/>
      <c r="AD178" s="484"/>
      <c r="AE178" s="484"/>
      <c r="AF178" s="484"/>
      <c r="AG178" s="484"/>
      <c r="AH178" s="484"/>
      <c r="AI178" s="484"/>
      <c r="AJ178" s="484"/>
      <c r="AK178" s="484"/>
      <c r="AL178" s="484"/>
      <c r="AM178" s="484"/>
    </row>
    <row r="179" spans="1:39" ht="15.75" customHeight="1" x14ac:dyDescent="0.35">
      <c r="A179" s="484"/>
      <c r="B179" s="484"/>
      <c r="C179" s="484"/>
      <c r="D179" s="484"/>
      <c r="E179" s="484"/>
      <c r="F179" s="484"/>
      <c r="G179" s="484"/>
      <c r="H179" s="484"/>
      <c r="I179" s="1084"/>
      <c r="J179" s="484"/>
      <c r="K179" s="484"/>
      <c r="L179" s="484"/>
      <c r="M179" s="484"/>
      <c r="N179" s="484"/>
      <c r="O179" s="484"/>
      <c r="P179" s="484"/>
      <c r="Q179" s="484"/>
      <c r="R179" s="484"/>
      <c r="S179" s="484"/>
      <c r="T179" s="484"/>
      <c r="U179" s="484"/>
      <c r="V179" s="484"/>
      <c r="W179" s="484"/>
      <c r="X179" s="484"/>
      <c r="Y179" s="484"/>
      <c r="Z179" s="484"/>
      <c r="AA179" s="484"/>
      <c r="AB179" s="484"/>
      <c r="AC179" s="484"/>
      <c r="AD179" s="484"/>
      <c r="AE179" s="484"/>
      <c r="AF179" s="484"/>
      <c r="AG179" s="484"/>
      <c r="AH179" s="484"/>
      <c r="AI179" s="484"/>
      <c r="AJ179" s="484"/>
      <c r="AK179" s="484"/>
      <c r="AL179" s="484"/>
      <c r="AM179" s="484"/>
    </row>
    <row r="180" spans="1:39" ht="15.75" customHeight="1" x14ac:dyDescent="0.35">
      <c r="A180" s="484"/>
      <c r="B180" s="484"/>
      <c r="C180" s="484"/>
      <c r="D180" s="484"/>
      <c r="E180" s="484"/>
      <c r="F180" s="484"/>
      <c r="G180" s="484"/>
      <c r="H180" s="484"/>
      <c r="I180" s="1084"/>
      <c r="J180" s="484"/>
      <c r="K180" s="484"/>
      <c r="L180" s="484"/>
      <c r="M180" s="484"/>
      <c r="N180" s="484"/>
      <c r="O180" s="484"/>
      <c r="P180" s="484"/>
      <c r="Q180" s="484"/>
      <c r="R180" s="484"/>
      <c r="S180" s="484"/>
      <c r="T180" s="484"/>
      <c r="U180" s="484"/>
      <c r="V180" s="484"/>
      <c r="W180" s="484"/>
      <c r="X180" s="484"/>
      <c r="Y180" s="484"/>
      <c r="Z180" s="484"/>
      <c r="AA180" s="484"/>
      <c r="AB180" s="484"/>
      <c r="AC180" s="484"/>
      <c r="AD180" s="484"/>
      <c r="AE180" s="484"/>
      <c r="AF180" s="484"/>
      <c r="AG180" s="484"/>
      <c r="AH180" s="484"/>
      <c r="AI180" s="484"/>
      <c r="AJ180" s="484"/>
      <c r="AK180" s="484"/>
      <c r="AL180" s="484"/>
      <c r="AM180" s="484"/>
    </row>
    <row r="181" spans="1:39" ht="15.75" customHeight="1" x14ac:dyDescent="0.35">
      <c r="A181" s="484"/>
      <c r="B181" s="484"/>
      <c r="C181" s="484"/>
      <c r="D181" s="484"/>
      <c r="E181" s="484"/>
      <c r="F181" s="484"/>
      <c r="G181" s="484"/>
      <c r="H181" s="484"/>
      <c r="I181" s="1084"/>
      <c r="J181" s="484"/>
      <c r="K181" s="484"/>
      <c r="L181" s="484"/>
      <c r="M181" s="484"/>
      <c r="N181" s="484"/>
      <c r="O181" s="484"/>
      <c r="P181" s="484"/>
      <c r="Q181" s="484"/>
      <c r="R181" s="484"/>
      <c r="S181" s="484"/>
      <c r="T181" s="484"/>
      <c r="U181" s="484"/>
      <c r="V181" s="484"/>
      <c r="W181" s="484"/>
      <c r="X181" s="484"/>
      <c r="Y181" s="484"/>
      <c r="Z181" s="484"/>
      <c r="AA181" s="484"/>
      <c r="AB181" s="484"/>
      <c r="AC181" s="484"/>
      <c r="AD181" s="484"/>
      <c r="AE181" s="484"/>
      <c r="AF181" s="484"/>
      <c r="AG181" s="484"/>
      <c r="AH181" s="484"/>
      <c r="AI181" s="484"/>
      <c r="AJ181" s="484"/>
      <c r="AK181" s="484"/>
      <c r="AL181" s="484"/>
      <c r="AM181" s="484"/>
    </row>
    <row r="182" spans="1:39" ht="15.75" customHeight="1" x14ac:dyDescent="0.35">
      <c r="A182" s="484"/>
      <c r="B182" s="484"/>
      <c r="C182" s="484"/>
      <c r="D182" s="484"/>
      <c r="E182" s="484"/>
      <c r="F182" s="484"/>
      <c r="G182" s="484"/>
      <c r="H182" s="484"/>
      <c r="I182" s="1084"/>
      <c r="J182" s="484"/>
      <c r="K182" s="484"/>
      <c r="L182" s="484"/>
      <c r="M182" s="484"/>
      <c r="N182" s="484"/>
      <c r="O182" s="484"/>
      <c r="P182" s="484"/>
      <c r="Q182" s="484"/>
      <c r="R182" s="484"/>
      <c r="S182" s="484"/>
      <c r="T182" s="484"/>
      <c r="U182" s="484"/>
      <c r="V182" s="484"/>
      <c r="W182" s="484"/>
      <c r="X182" s="484"/>
      <c r="Y182" s="484"/>
      <c r="Z182" s="484"/>
      <c r="AA182" s="484"/>
      <c r="AB182" s="484"/>
      <c r="AC182" s="484"/>
      <c r="AD182" s="484"/>
      <c r="AE182" s="484"/>
      <c r="AF182" s="484"/>
      <c r="AG182" s="484"/>
      <c r="AH182" s="484"/>
      <c r="AI182" s="484"/>
      <c r="AJ182" s="484"/>
      <c r="AK182" s="484"/>
      <c r="AL182" s="484"/>
      <c r="AM182" s="484"/>
    </row>
    <row r="183" spans="1:39" ht="15.75" customHeight="1" x14ac:dyDescent="0.35">
      <c r="A183" s="484"/>
      <c r="B183" s="484"/>
      <c r="C183" s="484"/>
      <c r="D183" s="484"/>
      <c r="E183" s="484"/>
      <c r="F183" s="484"/>
      <c r="G183" s="484"/>
      <c r="H183" s="484"/>
      <c r="I183" s="1084"/>
      <c r="J183" s="484"/>
      <c r="K183" s="484"/>
      <c r="L183" s="484"/>
      <c r="M183" s="484"/>
      <c r="N183" s="484"/>
      <c r="O183" s="484"/>
      <c r="P183" s="484"/>
      <c r="Q183" s="484"/>
      <c r="R183" s="484"/>
      <c r="S183" s="484"/>
      <c r="T183" s="484"/>
      <c r="U183" s="484"/>
      <c r="V183" s="484"/>
      <c r="W183" s="484"/>
      <c r="X183" s="484"/>
      <c r="Y183" s="484"/>
      <c r="Z183" s="484"/>
      <c r="AA183" s="484"/>
      <c r="AB183" s="484"/>
      <c r="AC183" s="484"/>
      <c r="AD183" s="484"/>
      <c r="AE183" s="484"/>
      <c r="AF183" s="484"/>
      <c r="AG183" s="484"/>
      <c r="AH183" s="484"/>
      <c r="AI183" s="484"/>
      <c r="AJ183" s="484"/>
      <c r="AK183" s="484"/>
      <c r="AL183" s="484"/>
      <c r="AM183" s="484"/>
    </row>
    <row r="184" spans="1:39" ht="15.75" customHeight="1" x14ac:dyDescent="0.35">
      <c r="A184" s="484"/>
      <c r="B184" s="484"/>
      <c r="C184" s="484"/>
      <c r="D184" s="484"/>
      <c r="E184" s="484"/>
      <c r="F184" s="484"/>
      <c r="G184" s="484"/>
      <c r="H184" s="484"/>
      <c r="I184" s="1084"/>
      <c r="J184" s="484"/>
      <c r="K184" s="484"/>
      <c r="L184" s="484"/>
      <c r="M184" s="484"/>
      <c r="N184" s="484"/>
      <c r="O184" s="484"/>
      <c r="P184" s="484"/>
      <c r="Q184" s="484"/>
      <c r="R184" s="484"/>
      <c r="S184" s="484"/>
      <c r="T184" s="484"/>
      <c r="U184" s="484"/>
      <c r="V184" s="484"/>
      <c r="W184" s="484"/>
      <c r="X184" s="484"/>
      <c r="Y184" s="484"/>
      <c r="Z184" s="484"/>
      <c r="AA184" s="484"/>
      <c r="AB184" s="484"/>
      <c r="AC184" s="484"/>
      <c r="AD184" s="484"/>
      <c r="AE184" s="484"/>
      <c r="AF184" s="484"/>
      <c r="AG184" s="484"/>
      <c r="AH184" s="484"/>
      <c r="AI184" s="484"/>
      <c r="AJ184" s="484"/>
      <c r="AK184" s="484"/>
      <c r="AL184" s="484"/>
      <c r="AM184" s="484"/>
    </row>
    <row r="185" spans="1:39" ht="15.75" customHeight="1" x14ac:dyDescent="0.35">
      <c r="A185" s="484"/>
      <c r="B185" s="484"/>
      <c r="C185" s="484"/>
      <c r="D185" s="484"/>
      <c r="E185" s="484"/>
      <c r="F185" s="484"/>
      <c r="G185" s="484"/>
      <c r="H185" s="484"/>
      <c r="I185" s="1084"/>
      <c r="J185" s="484"/>
      <c r="K185" s="484"/>
      <c r="L185" s="484"/>
      <c r="M185" s="484"/>
      <c r="N185" s="484"/>
      <c r="O185" s="484"/>
      <c r="P185" s="484"/>
      <c r="Q185" s="484"/>
      <c r="R185" s="484"/>
      <c r="S185" s="484"/>
      <c r="T185" s="484"/>
      <c r="U185" s="484"/>
      <c r="V185" s="484"/>
      <c r="W185" s="484"/>
      <c r="X185" s="484"/>
      <c r="Y185" s="484"/>
      <c r="Z185" s="484"/>
      <c r="AA185" s="484"/>
      <c r="AB185" s="484"/>
      <c r="AC185" s="484"/>
      <c r="AD185" s="484"/>
      <c r="AE185" s="484"/>
      <c r="AF185" s="484"/>
      <c r="AG185" s="484"/>
      <c r="AH185" s="484"/>
      <c r="AI185" s="484"/>
      <c r="AJ185" s="484"/>
      <c r="AK185" s="484"/>
      <c r="AL185" s="484"/>
      <c r="AM185" s="484"/>
    </row>
    <row r="186" spans="1:39" ht="15.75" customHeight="1" x14ac:dyDescent="0.35">
      <c r="A186" s="484"/>
      <c r="B186" s="484"/>
      <c r="C186" s="484"/>
      <c r="D186" s="484"/>
      <c r="E186" s="484"/>
      <c r="F186" s="484"/>
      <c r="G186" s="484"/>
      <c r="H186" s="484"/>
      <c r="I186" s="1084"/>
      <c r="J186" s="484"/>
      <c r="K186" s="484"/>
      <c r="L186" s="484"/>
      <c r="M186" s="484"/>
      <c r="N186" s="484"/>
      <c r="O186" s="484"/>
      <c r="P186" s="484"/>
      <c r="Q186" s="484"/>
      <c r="R186" s="484"/>
      <c r="S186" s="484"/>
      <c r="T186" s="484"/>
      <c r="U186" s="484"/>
      <c r="V186" s="484"/>
      <c r="W186" s="484"/>
      <c r="X186" s="484"/>
      <c r="Y186" s="484"/>
      <c r="Z186" s="484"/>
      <c r="AA186" s="484"/>
      <c r="AB186" s="484"/>
      <c r="AC186" s="484"/>
      <c r="AD186" s="484"/>
      <c r="AE186" s="484"/>
      <c r="AF186" s="484"/>
      <c r="AG186" s="484"/>
      <c r="AH186" s="484"/>
      <c r="AI186" s="484"/>
      <c r="AJ186" s="484"/>
      <c r="AK186" s="484"/>
      <c r="AL186" s="484"/>
      <c r="AM186" s="484"/>
    </row>
    <row r="187" spans="1:39" ht="15.75" customHeight="1" x14ac:dyDescent="0.35">
      <c r="A187" s="484"/>
      <c r="B187" s="484"/>
      <c r="C187" s="484"/>
      <c r="D187" s="484"/>
      <c r="E187" s="484"/>
      <c r="F187" s="484"/>
      <c r="G187" s="484"/>
      <c r="H187" s="484"/>
      <c r="I187" s="1084"/>
      <c r="J187" s="484"/>
      <c r="K187" s="484"/>
      <c r="L187" s="484"/>
      <c r="M187" s="484"/>
      <c r="N187" s="484"/>
      <c r="O187" s="484"/>
      <c r="P187" s="484"/>
      <c r="Q187" s="484"/>
      <c r="R187" s="484"/>
      <c r="S187" s="484"/>
      <c r="T187" s="484"/>
      <c r="U187" s="484"/>
      <c r="V187" s="484"/>
      <c r="W187" s="484"/>
      <c r="X187" s="484"/>
      <c r="Y187" s="484"/>
      <c r="Z187" s="484"/>
      <c r="AA187" s="484"/>
      <c r="AB187" s="484"/>
      <c r="AC187" s="484"/>
      <c r="AD187" s="484"/>
      <c r="AE187" s="484"/>
      <c r="AF187" s="484"/>
      <c r="AG187" s="484"/>
      <c r="AH187" s="484"/>
      <c r="AI187" s="484"/>
      <c r="AJ187" s="484"/>
      <c r="AK187" s="484"/>
      <c r="AL187" s="484"/>
      <c r="AM187" s="484"/>
    </row>
    <row r="188" spans="1:39" ht="15.75" customHeight="1" x14ac:dyDescent="0.35">
      <c r="A188" s="484"/>
      <c r="B188" s="484"/>
      <c r="C188" s="484"/>
      <c r="D188" s="484"/>
      <c r="E188" s="484"/>
      <c r="F188" s="484"/>
      <c r="G188" s="484"/>
      <c r="H188" s="484"/>
      <c r="I188" s="1084"/>
      <c r="J188" s="484"/>
      <c r="K188" s="484"/>
      <c r="L188" s="484"/>
      <c r="M188" s="484"/>
      <c r="N188" s="484"/>
      <c r="O188" s="484"/>
      <c r="P188" s="484"/>
      <c r="Q188" s="484"/>
      <c r="R188" s="484"/>
      <c r="S188" s="484"/>
      <c r="T188" s="484"/>
      <c r="U188" s="484"/>
      <c r="V188" s="484"/>
      <c r="W188" s="484"/>
      <c r="X188" s="484"/>
      <c r="Y188" s="484"/>
      <c r="Z188" s="484"/>
      <c r="AA188" s="484"/>
      <c r="AB188" s="484"/>
      <c r="AC188" s="484"/>
      <c r="AD188" s="484"/>
      <c r="AE188" s="484"/>
      <c r="AF188" s="484"/>
      <c r="AG188" s="484"/>
      <c r="AH188" s="484"/>
      <c r="AI188" s="484"/>
      <c r="AJ188" s="484"/>
      <c r="AK188" s="484"/>
      <c r="AL188" s="484"/>
      <c r="AM188" s="484"/>
    </row>
    <row r="189" spans="1:39" ht="15.75" customHeight="1" x14ac:dyDescent="0.35">
      <c r="A189" s="484"/>
      <c r="B189" s="484"/>
      <c r="C189" s="484"/>
      <c r="D189" s="484"/>
      <c r="E189" s="484"/>
      <c r="F189" s="484"/>
      <c r="G189" s="484"/>
      <c r="H189" s="484"/>
      <c r="I189" s="1084"/>
      <c r="J189" s="484"/>
      <c r="K189" s="484"/>
      <c r="L189" s="484"/>
      <c r="M189" s="484"/>
      <c r="N189" s="484"/>
      <c r="O189" s="484"/>
      <c r="P189" s="484"/>
      <c r="Q189" s="484"/>
      <c r="R189" s="484"/>
      <c r="S189" s="484"/>
      <c r="T189" s="484"/>
      <c r="U189" s="484"/>
      <c r="V189" s="484"/>
      <c r="W189" s="484"/>
      <c r="X189" s="484"/>
      <c r="Y189" s="484"/>
      <c r="Z189" s="484"/>
      <c r="AA189" s="484"/>
      <c r="AB189" s="484"/>
      <c r="AC189" s="484"/>
      <c r="AD189" s="484"/>
      <c r="AE189" s="484"/>
      <c r="AF189" s="484"/>
      <c r="AG189" s="484"/>
      <c r="AH189" s="484"/>
      <c r="AI189" s="484"/>
      <c r="AJ189" s="484"/>
      <c r="AK189" s="484"/>
      <c r="AL189" s="484"/>
      <c r="AM189" s="484"/>
    </row>
    <row r="190" spans="1:39" ht="15.75" customHeight="1" x14ac:dyDescent="0.35">
      <c r="A190" s="484"/>
      <c r="B190" s="484"/>
      <c r="C190" s="484"/>
      <c r="D190" s="484"/>
      <c r="E190" s="484"/>
      <c r="F190" s="484"/>
      <c r="G190" s="484"/>
      <c r="H190" s="484"/>
      <c r="I190" s="1084"/>
      <c r="J190" s="484"/>
      <c r="K190" s="484"/>
      <c r="L190" s="484"/>
      <c r="M190" s="484"/>
      <c r="N190" s="484"/>
      <c r="O190" s="484"/>
      <c r="P190" s="484"/>
      <c r="Q190" s="484"/>
      <c r="R190" s="484"/>
      <c r="S190" s="484"/>
      <c r="T190" s="484"/>
      <c r="U190" s="484"/>
      <c r="V190" s="484"/>
      <c r="W190" s="484"/>
      <c r="X190" s="484"/>
      <c r="Y190" s="484"/>
      <c r="Z190" s="484"/>
      <c r="AA190" s="484"/>
      <c r="AB190" s="484"/>
      <c r="AC190" s="484"/>
      <c r="AD190" s="484"/>
      <c r="AE190" s="484"/>
      <c r="AF190" s="484"/>
      <c r="AG190" s="484"/>
      <c r="AH190" s="484"/>
      <c r="AI190" s="484"/>
      <c r="AJ190" s="484"/>
      <c r="AK190" s="484"/>
      <c r="AL190" s="484"/>
      <c r="AM190" s="484"/>
    </row>
    <row r="191" spans="1:39" ht="15.75" customHeight="1" x14ac:dyDescent="0.35">
      <c r="A191" s="484"/>
      <c r="B191" s="484"/>
      <c r="C191" s="484"/>
      <c r="D191" s="484"/>
      <c r="E191" s="484"/>
      <c r="F191" s="484"/>
      <c r="G191" s="484"/>
      <c r="H191" s="484"/>
      <c r="I191" s="1084"/>
      <c r="J191" s="484"/>
      <c r="K191" s="484"/>
      <c r="L191" s="484"/>
      <c r="M191" s="484"/>
      <c r="N191" s="484"/>
      <c r="O191" s="484"/>
      <c r="P191" s="484"/>
      <c r="Q191" s="484"/>
      <c r="R191" s="484"/>
      <c r="S191" s="484"/>
      <c r="T191" s="484"/>
      <c r="U191" s="484"/>
      <c r="V191" s="484"/>
      <c r="W191" s="484"/>
      <c r="X191" s="484"/>
      <c r="Y191" s="484"/>
      <c r="Z191" s="484"/>
      <c r="AA191" s="484"/>
      <c r="AB191" s="484"/>
      <c r="AC191" s="484"/>
      <c r="AD191" s="484"/>
      <c r="AE191" s="484"/>
      <c r="AF191" s="484"/>
      <c r="AG191" s="484"/>
      <c r="AH191" s="484"/>
      <c r="AI191" s="484"/>
      <c r="AJ191" s="484"/>
      <c r="AK191" s="484"/>
      <c r="AL191" s="484"/>
      <c r="AM191" s="484"/>
    </row>
    <row r="192" spans="1:39" ht="15.75" customHeight="1" x14ac:dyDescent="0.35">
      <c r="A192" s="484"/>
      <c r="B192" s="484"/>
      <c r="C192" s="484"/>
      <c r="D192" s="484"/>
      <c r="E192" s="484"/>
      <c r="F192" s="484"/>
      <c r="G192" s="484"/>
      <c r="H192" s="484"/>
      <c r="I192" s="1084"/>
      <c r="J192" s="484"/>
      <c r="K192" s="484"/>
      <c r="L192" s="484"/>
      <c r="M192" s="484"/>
      <c r="N192" s="484"/>
      <c r="O192" s="484"/>
      <c r="P192" s="484"/>
      <c r="Q192" s="484"/>
      <c r="R192" s="484"/>
      <c r="S192" s="484"/>
      <c r="T192" s="484"/>
      <c r="U192" s="484"/>
      <c r="V192" s="484"/>
      <c r="W192" s="484"/>
      <c r="X192" s="484"/>
      <c r="Y192" s="484"/>
      <c r="Z192" s="484"/>
      <c r="AA192" s="484"/>
      <c r="AB192" s="484"/>
      <c r="AC192" s="484"/>
      <c r="AD192" s="484"/>
      <c r="AE192" s="484"/>
      <c r="AF192" s="484"/>
      <c r="AG192" s="484"/>
      <c r="AH192" s="484"/>
      <c r="AI192" s="484"/>
      <c r="AJ192" s="484"/>
      <c r="AK192" s="484"/>
      <c r="AL192" s="484"/>
      <c r="AM192" s="484"/>
    </row>
    <row r="193" spans="1:39" ht="15.75" customHeight="1" x14ac:dyDescent="0.35">
      <c r="A193" s="484"/>
      <c r="B193" s="484"/>
      <c r="C193" s="484"/>
      <c r="D193" s="484"/>
      <c r="E193" s="484"/>
      <c r="F193" s="484"/>
      <c r="G193" s="484"/>
      <c r="H193" s="484"/>
      <c r="I193" s="1084"/>
      <c r="J193" s="484"/>
      <c r="K193" s="484"/>
      <c r="L193" s="484"/>
      <c r="M193" s="484"/>
      <c r="N193" s="484"/>
      <c r="O193" s="484"/>
      <c r="P193" s="484"/>
      <c r="Q193" s="484"/>
      <c r="R193" s="484"/>
      <c r="S193" s="484"/>
      <c r="T193" s="484"/>
      <c r="U193" s="484"/>
      <c r="V193" s="484"/>
      <c r="W193" s="484"/>
      <c r="X193" s="484"/>
      <c r="Y193" s="484"/>
      <c r="Z193" s="484"/>
      <c r="AA193" s="484"/>
      <c r="AB193" s="484"/>
      <c r="AC193" s="484"/>
      <c r="AD193" s="484"/>
      <c r="AE193" s="484"/>
      <c r="AF193" s="484"/>
      <c r="AG193" s="484"/>
      <c r="AH193" s="484"/>
      <c r="AI193" s="484"/>
      <c r="AJ193" s="484"/>
      <c r="AK193" s="484"/>
      <c r="AL193" s="484"/>
      <c r="AM193" s="484"/>
    </row>
    <row r="194" spans="1:39" ht="15.75" customHeight="1" x14ac:dyDescent="0.35">
      <c r="A194" s="484"/>
      <c r="B194" s="484"/>
      <c r="C194" s="484"/>
      <c r="D194" s="484"/>
      <c r="E194" s="484"/>
      <c r="F194" s="484"/>
      <c r="G194" s="484"/>
      <c r="H194" s="484"/>
      <c r="I194" s="1084"/>
      <c r="J194" s="484"/>
      <c r="K194" s="484"/>
      <c r="L194" s="484"/>
      <c r="M194" s="484"/>
      <c r="N194" s="484"/>
      <c r="O194" s="484"/>
      <c r="P194" s="484"/>
      <c r="Q194" s="484"/>
      <c r="R194" s="484"/>
      <c r="S194" s="484"/>
      <c r="T194" s="484"/>
      <c r="U194" s="484"/>
      <c r="V194" s="484"/>
      <c r="W194" s="484"/>
      <c r="X194" s="484"/>
      <c r="Y194" s="484"/>
      <c r="Z194" s="484"/>
      <c r="AA194" s="484"/>
      <c r="AB194" s="484"/>
      <c r="AC194" s="484"/>
      <c r="AD194" s="484"/>
      <c r="AE194" s="484"/>
      <c r="AF194" s="484"/>
      <c r="AG194" s="484"/>
      <c r="AH194" s="484"/>
      <c r="AI194" s="484"/>
      <c r="AJ194" s="484"/>
      <c r="AK194" s="484"/>
      <c r="AL194" s="484"/>
      <c r="AM194" s="484"/>
    </row>
    <row r="195" spans="1:39" ht="15.75" customHeight="1" x14ac:dyDescent="0.35">
      <c r="A195" s="484"/>
      <c r="B195" s="484"/>
      <c r="C195" s="484"/>
      <c r="D195" s="484"/>
      <c r="E195" s="484"/>
      <c r="F195" s="484"/>
      <c r="G195" s="484"/>
      <c r="H195" s="484"/>
      <c r="I195" s="1084"/>
      <c r="J195" s="484"/>
      <c r="K195" s="484"/>
      <c r="L195" s="484"/>
      <c r="M195" s="484"/>
      <c r="N195" s="484"/>
      <c r="O195" s="484"/>
      <c r="P195" s="484"/>
      <c r="Q195" s="484"/>
      <c r="R195" s="484"/>
      <c r="S195" s="484"/>
      <c r="T195" s="484"/>
      <c r="U195" s="484"/>
      <c r="V195" s="484"/>
      <c r="W195" s="484"/>
      <c r="X195" s="484"/>
      <c r="Y195" s="484"/>
      <c r="Z195" s="484"/>
      <c r="AA195" s="484"/>
      <c r="AB195" s="484"/>
      <c r="AC195" s="484"/>
      <c r="AD195" s="484"/>
      <c r="AE195" s="484"/>
      <c r="AF195" s="484"/>
      <c r="AG195" s="484"/>
      <c r="AH195" s="484"/>
      <c r="AI195" s="484"/>
      <c r="AJ195" s="484"/>
      <c r="AK195" s="484"/>
      <c r="AL195" s="484"/>
      <c r="AM195" s="484"/>
    </row>
    <row r="196" spans="1:39" ht="15.75" customHeight="1" x14ac:dyDescent="0.35">
      <c r="A196" s="484"/>
      <c r="B196" s="484"/>
      <c r="C196" s="484"/>
      <c r="D196" s="484"/>
      <c r="E196" s="484"/>
      <c r="F196" s="484"/>
      <c r="G196" s="484"/>
      <c r="H196" s="484"/>
      <c r="I196" s="1084"/>
      <c r="J196" s="484"/>
      <c r="K196" s="484"/>
      <c r="L196" s="484"/>
      <c r="M196" s="484"/>
      <c r="N196" s="484"/>
      <c r="O196" s="484"/>
      <c r="P196" s="484"/>
      <c r="Q196" s="484"/>
      <c r="R196" s="484"/>
      <c r="S196" s="484"/>
      <c r="T196" s="484"/>
      <c r="U196" s="484"/>
      <c r="V196" s="484"/>
      <c r="W196" s="484"/>
      <c r="X196" s="484"/>
      <c r="Y196" s="484"/>
      <c r="Z196" s="484"/>
      <c r="AA196" s="484"/>
      <c r="AB196" s="484"/>
      <c r="AC196" s="484"/>
      <c r="AD196" s="484"/>
      <c r="AE196" s="484"/>
      <c r="AF196" s="484"/>
      <c r="AG196" s="484"/>
      <c r="AH196" s="484"/>
      <c r="AI196" s="484"/>
      <c r="AJ196" s="484"/>
      <c r="AK196" s="484"/>
      <c r="AL196" s="484"/>
      <c r="AM196" s="484"/>
    </row>
    <row r="197" spans="1:39" ht="15.75" customHeight="1" x14ac:dyDescent="0.35">
      <c r="A197" s="484"/>
      <c r="B197" s="484"/>
      <c r="C197" s="484"/>
      <c r="D197" s="484"/>
      <c r="E197" s="484"/>
      <c r="F197" s="484"/>
      <c r="G197" s="484"/>
      <c r="H197" s="484"/>
      <c r="I197" s="1084"/>
      <c r="J197" s="484"/>
      <c r="K197" s="484"/>
      <c r="L197" s="484"/>
      <c r="M197" s="484"/>
      <c r="N197" s="484"/>
      <c r="O197" s="484"/>
      <c r="P197" s="484"/>
      <c r="Q197" s="484"/>
      <c r="R197" s="484"/>
      <c r="S197" s="484"/>
      <c r="T197" s="484"/>
      <c r="U197" s="484"/>
      <c r="V197" s="484"/>
      <c r="W197" s="484"/>
      <c r="X197" s="484"/>
      <c r="Y197" s="484"/>
      <c r="Z197" s="484"/>
      <c r="AA197" s="484"/>
      <c r="AB197" s="484"/>
      <c r="AC197" s="484"/>
      <c r="AD197" s="484"/>
      <c r="AE197" s="484"/>
      <c r="AF197" s="484"/>
      <c r="AG197" s="484"/>
      <c r="AH197" s="484"/>
      <c r="AI197" s="484"/>
      <c r="AJ197" s="484"/>
      <c r="AK197" s="484"/>
      <c r="AL197" s="484"/>
      <c r="AM197" s="484"/>
    </row>
    <row r="198" spans="1:39" ht="15.75" customHeight="1" x14ac:dyDescent="0.35">
      <c r="A198" s="484"/>
      <c r="B198" s="484"/>
      <c r="C198" s="484"/>
      <c r="D198" s="484"/>
      <c r="E198" s="484"/>
      <c r="F198" s="484"/>
      <c r="G198" s="484"/>
      <c r="H198" s="484"/>
      <c r="I198" s="1084"/>
      <c r="J198" s="484"/>
      <c r="K198" s="484"/>
      <c r="L198" s="484"/>
      <c r="M198" s="484"/>
      <c r="N198" s="484"/>
      <c r="O198" s="484"/>
      <c r="P198" s="484"/>
      <c r="Q198" s="484"/>
      <c r="R198" s="484"/>
      <c r="S198" s="484"/>
      <c r="T198" s="484"/>
      <c r="U198" s="484"/>
      <c r="V198" s="484"/>
      <c r="W198" s="484"/>
      <c r="X198" s="484"/>
      <c r="Y198" s="484"/>
      <c r="Z198" s="484"/>
      <c r="AA198" s="484"/>
      <c r="AB198" s="484"/>
      <c r="AC198" s="484"/>
      <c r="AD198" s="484"/>
      <c r="AE198" s="484"/>
      <c r="AF198" s="484"/>
      <c r="AG198" s="484"/>
      <c r="AH198" s="484"/>
      <c r="AI198" s="484"/>
      <c r="AJ198" s="484"/>
      <c r="AK198" s="484"/>
      <c r="AL198" s="484"/>
      <c r="AM198" s="484"/>
    </row>
    <row r="199" spans="1:39" ht="15.75" customHeight="1" x14ac:dyDescent="0.35">
      <c r="A199" s="484"/>
      <c r="B199" s="484"/>
      <c r="C199" s="484"/>
      <c r="D199" s="484"/>
      <c r="E199" s="484"/>
      <c r="F199" s="484"/>
      <c r="G199" s="484"/>
      <c r="H199" s="484"/>
      <c r="I199" s="1084"/>
      <c r="J199" s="484"/>
      <c r="K199" s="484"/>
      <c r="L199" s="484"/>
      <c r="M199" s="484"/>
      <c r="N199" s="484"/>
      <c r="O199" s="484"/>
      <c r="P199" s="484"/>
      <c r="Q199" s="484"/>
      <c r="R199" s="484"/>
      <c r="S199" s="484"/>
      <c r="T199" s="484"/>
      <c r="U199" s="484"/>
      <c r="V199" s="484"/>
      <c r="W199" s="484"/>
      <c r="X199" s="484"/>
      <c r="Y199" s="484"/>
      <c r="Z199" s="484"/>
      <c r="AA199" s="484"/>
      <c r="AB199" s="484"/>
      <c r="AC199" s="484"/>
      <c r="AD199" s="484"/>
      <c r="AE199" s="484"/>
      <c r="AF199" s="484"/>
      <c r="AG199" s="484"/>
      <c r="AH199" s="484"/>
      <c r="AI199" s="484"/>
      <c r="AJ199" s="484"/>
      <c r="AK199" s="484"/>
      <c r="AL199" s="484"/>
      <c r="AM199" s="484"/>
    </row>
    <row r="200" spans="1:39" ht="15.75" customHeight="1" x14ac:dyDescent="0.35">
      <c r="A200" s="484"/>
      <c r="B200" s="484"/>
      <c r="C200" s="484"/>
      <c r="D200" s="484"/>
      <c r="E200" s="484"/>
      <c r="F200" s="484"/>
      <c r="G200" s="484"/>
      <c r="H200" s="484"/>
      <c r="I200" s="1084"/>
      <c r="J200" s="484"/>
      <c r="K200" s="484"/>
      <c r="L200" s="484"/>
      <c r="M200" s="484"/>
      <c r="N200" s="484"/>
      <c r="O200" s="484"/>
      <c r="P200" s="484"/>
      <c r="Q200" s="484"/>
      <c r="R200" s="484"/>
      <c r="S200" s="484"/>
      <c r="T200" s="484"/>
      <c r="U200" s="484"/>
      <c r="V200" s="484"/>
      <c r="W200" s="484"/>
      <c r="X200" s="484"/>
      <c r="Y200" s="484"/>
      <c r="Z200" s="484"/>
      <c r="AA200" s="484"/>
      <c r="AB200" s="484"/>
      <c r="AC200" s="484"/>
      <c r="AD200" s="484"/>
      <c r="AE200" s="484"/>
      <c r="AF200" s="484"/>
      <c r="AG200" s="484"/>
      <c r="AH200" s="484"/>
      <c r="AI200" s="484"/>
      <c r="AJ200" s="484"/>
      <c r="AK200" s="484"/>
      <c r="AL200" s="484"/>
      <c r="AM200" s="484"/>
    </row>
    <row r="201" spans="1:39" ht="15.75" customHeight="1" x14ac:dyDescent="0.35">
      <c r="A201" s="484"/>
      <c r="B201" s="484"/>
      <c r="C201" s="484"/>
      <c r="D201" s="484"/>
      <c r="E201" s="484"/>
      <c r="F201" s="484"/>
      <c r="G201" s="484"/>
      <c r="H201" s="484"/>
      <c r="I201" s="1084"/>
      <c r="J201" s="484"/>
      <c r="K201" s="484"/>
      <c r="L201" s="484"/>
      <c r="M201" s="484"/>
      <c r="N201" s="484"/>
      <c r="O201" s="484"/>
      <c r="P201" s="484"/>
      <c r="Q201" s="484"/>
      <c r="R201" s="484"/>
      <c r="S201" s="484"/>
      <c r="T201" s="484"/>
      <c r="U201" s="484"/>
      <c r="V201" s="484"/>
      <c r="W201" s="484"/>
      <c r="X201" s="484"/>
      <c r="Y201" s="484"/>
      <c r="Z201" s="484"/>
      <c r="AA201" s="484"/>
      <c r="AB201" s="484"/>
      <c r="AC201" s="484"/>
      <c r="AD201" s="484"/>
      <c r="AE201" s="484"/>
      <c r="AF201" s="484"/>
      <c r="AG201" s="484"/>
      <c r="AH201" s="484"/>
      <c r="AI201" s="484"/>
      <c r="AJ201" s="484"/>
      <c r="AK201" s="484"/>
      <c r="AL201" s="484"/>
      <c r="AM201" s="484"/>
    </row>
    <row r="202" spans="1:39" ht="15.75" customHeight="1" x14ac:dyDescent="0.35">
      <c r="A202" s="484"/>
      <c r="B202" s="484"/>
      <c r="C202" s="484"/>
      <c r="D202" s="484"/>
      <c r="E202" s="484"/>
      <c r="F202" s="484"/>
      <c r="G202" s="484"/>
      <c r="H202" s="484"/>
      <c r="I202" s="1084"/>
      <c r="J202" s="484"/>
      <c r="K202" s="484"/>
      <c r="L202" s="484"/>
      <c r="M202" s="484"/>
      <c r="N202" s="484"/>
      <c r="O202" s="484"/>
      <c r="P202" s="484"/>
      <c r="Q202" s="484"/>
      <c r="R202" s="484"/>
      <c r="S202" s="484"/>
      <c r="T202" s="484"/>
      <c r="U202" s="484"/>
      <c r="V202" s="484"/>
      <c r="W202" s="484"/>
      <c r="X202" s="484"/>
      <c r="Y202" s="484"/>
      <c r="Z202" s="484"/>
      <c r="AA202" s="484"/>
      <c r="AB202" s="484"/>
      <c r="AC202" s="484"/>
      <c r="AD202" s="484"/>
      <c r="AE202" s="484"/>
      <c r="AF202" s="484"/>
      <c r="AG202" s="484"/>
      <c r="AH202" s="484"/>
      <c r="AI202" s="484"/>
      <c r="AJ202" s="484"/>
      <c r="AK202" s="484"/>
      <c r="AL202" s="484"/>
      <c r="AM202" s="484"/>
    </row>
    <row r="203" spans="1:39" ht="15.75" customHeight="1" x14ac:dyDescent="0.35">
      <c r="A203" s="484"/>
      <c r="B203" s="484"/>
      <c r="C203" s="484"/>
      <c r="D203" s="484"/>
      <c r="E203" s="484"/>
      <c r="F203" s="484"/>
      <c r="G203" s="484"/>
      <c r="H203" s="484"/>
      <c r="I203" s="1084"/>
      <c r="J203" s="484"/>
      <c r="K203" s="484"/>
      <c r="L203" s="484"/>
      <c r="M203" s="484"/>
      <c r="N203" s="484"/>
      <c r="O203" s="484"/>
      <c r="P203" s="484"/>
      <c r="Q203" s="484"/>
      <c r="R203" s="484"/>
      <c r="S203" s="484"/>
      <c r="T203" s="484"/>
      <c r="U203" s="484"/>
      <c r="V203" s="484"/>
      <c r="W203" s="484"/>
      <c r="X203" s="484"/>
      <c r="Y203" s="484"/>
      <c r="Z203" s="484"/>
      <c r="AA203" s="484"/>
      <c r="AB203" s="484"/>
      <c r="AC203" s="484"/>
      <c r="AD203" s="484"/>
      <c r="AE203" s="484"/>
      <c r="AF203" s="484"/>
      <c r="AG203" s="484"/>
      <c r="AH203" s="484"/>
      <c r="AI203" s="484"/>
      <c r="AJ203" s="484"/>
      <c r="AK203" s="484"/>
      <c r="AL203" s="484"/>
      <c r="AM203" s="484"/>
    </row>
    <row r="204" spans="1:39" ht="15.75" customHeight="1" x14ac:dyDescent="0.35">
      <c r="A204" s="484"/>
      <c r="B204" s="484"/>
      <c r="C204" s="484"/>
      <c r="D204" s="484"/>
      <c r="E204" s="484"/>
      <c r="F204" s="484"/>
      <c r="G204" s="484"/>
      <c r="H204" s="484"/>
      <c r="I204" s="1084"/>
      <c r="J204" s="484"/>
      <c r="K204" s="484"/>
      <c r="L204" s="484"/>
      <c r="M204" s="484"/>
      <c r="N204" s="484"/>
      <c r="O204" s="484"/>
      <c r="P204" s="484"/>
      <c r="Q204" s="484"/>
      <c r="R204" s="484"/>
      <c r="S204" s="484"/>
      <c r="T204" s="484"/>
      <c r="U204" s="484"/>
      <c r="V204" s="484"/>
      <c r="W204" s="484"/>
      <c r="X204" s="484"/>
      <c r="Y204" s="484"/>
      <c r="Z204" s="484"/>
      <c r="AA204" s="484"/>
      <c r="AB204" s="484"/>
      <c r="AC204" s="484"/>
      <c r="AD204" s="484"/>
      <c r="AE204" s="484"/>
      <c r="AF204" s="484"/>
      <c r="AG204" s="484"/>
      <c r="AH204" s="484"/>
      <c r="AI204" s="484"/>
      <c r="AJ204" s="484"/>
      <c r="AK204" s="484"/>
      <c r="AL204" s="484"/>
      <c r="AM204" s="484"/>
    </row>
    <row r="205" spans="1:39" ht="15.75" customHeight="1" x14ac:dyDescent="0.35">
      <c r="A205" s="484"/>
      <c r="B205" s="484"/>
      <c r="C205" s="484"/>
      <c r="D205" s="484"/>
      <c r="E205" s="484"/>
      <c r="F205" s="484"/>
      <c r="G205" s="484"/>
      <c r="H205" s="484"/>
      <c r="I205" s="1084"/>
      <c r="J205" s="484"/>
      <c r="K205" s="484"/>
      <c r="L205" s="484"/>
      <c r="M205" s="484"/>
      <c r="N205" s="484"/>
      <c r="O205" s="484"/>
      <c r="P205" s="484"/>
      <c r="Q205" s="484"/>
      <c r="R205" s="484"/>
      <c r="S205" s="484"/>
      <c r="T205" s="484"/>
      <c r="U205" s="484"/>
      <c r="V205" s="484"/>
      <c r="W205" s="484"/>
      <c r="X205" s="484"/>
      <c r="Y205" s="484"/>
      <c r="Z205" s="484"/>
      <c r="AA205" s="484"/>
      <c r="AB205" s="484"/>
      <c r="AC205" s="484"/>
      <c r="AD205" s="484"/>
      <c r="AE205" s="484"/>
      <c r="AF205" s="484"/>
      <c r="AG205" s="484"/>
      <c r="AH205" s="484"/>
      <c r="AI205" s="484"/>
      <c r="AJ205" s="484"/>
      <c r="AK205" s="484"/>
      <c r="AL205" s="484"/>
      <c r="AM205" s="484"/>
    </row>
    <row r="206" spans="1:39" ht="15.75" customHeight="1" x14ac:dyDescent="0.35">
      <c r="A206" s="484"/>
      <c r="B206" s="484"/>
      <c r="C206" s="484"/>
      <c r="D206" s="484"/>
      <c r="E206" s="484"/>
      <c r="F206" s="484"/>
      <c r="G206" s="484"/>
      <c r="H206" s="484"/>
      <c r="I206" s="1084"/>
      <c r="J206" s="484"/>
      <c r="K206" s="484"/>
      <c r="L206" s="484"/>
      <c r="M206" s="484"/>
      <c r="N206" s="484"/>
      <c r="O206" s="484"/>
      <c r="P206" s="484"/>
      <c r="Q206" s="484"/>
      <c r="R206" s="484"/>
      <c r="S206" s="484"/>
      <c r="T206" s="484"/>
      <c r="U206" s="484"/>
      <c r="V206" s="484"/>
      <c r="W206" s="484"/>
      <c r="X206" s="484"/>
      <c r="Y206" s="484"/>
      <c r="Z206" s="484"/>
      <c r="AA206" s="484"/>
      <c r="AB206" s="484"/>
      <c r="AC206" s="484"/>
      <c r="AD206" s="484"/>
      <c r="AE206" s="484"/>
      <c r="AF206" s="484"/>
      <c r="AG206" s="484"/>
      <c r="AH206" s="484"/>
      <c r="AI206" s="484"/>
      <c r="AJ206" s="484"/>
      <c r="AK206" s="484"/>
      <c r="AL206" s="484"/>
      <c r="AM206" s="484"/>
    </row>
    <row r="207" spans="1:39" ht="15.75" customHeight="1" x14ac:dyDescent="0.35">
      <c r="A207" s="484"/>
      <c r="B207" s="484"/>
      <c r="C207" s="484"/>
      <c r="D207" s="484"/>
      <c r="E207" s="484"/>
      <c r="F207" s="484"/>
      <c r="G207" s="484"/>
      <c r="H207" s="484"/>
      <c r="I207" s="1084"/>
      <c r="J207" s="484"/>
      <c r="K207" s="484"/>
      <c r="L207" s="484"/>
      <c r="M207" s="484"/>
      <c r="N207" s="484"/>
      <c r="O207" s="484"/>
      <c r="P207" s="484"/>
      <c r="Q207" s="484"/>
      <c r="R207" s="484"/>
      <c r="S207" s="484"/>
      <c r="T207" s="484"/>
      <c r="U207" s="484"/>
      <c r="V207" s="484"/>
      <c r="W207" s="484"/>
      <c r="X207" s="484"/>
      <c r="Y207" s="484"/>
      <c r="Z207" s="484"/>
      <c r="AA207" s="484"/>
      <c r="AB207" s="484"/>
      <c r="AC207" s="484"/>
      <c r="AD207" s="484"/>
      <c r="AE207" s="484"/>
      <c r="AF207" s="484"/>
      <c r="AG207" s="484"/>
      <c r="AH207" s="484"/>
      <c r="AI207" s="484"/>
      <c r="AJ207" s="484"/>
      <c r="AK207" s="484"/>
      <c r="AL207" s="484"/>
      <c r="AM207" s="484"/>
    </row>
    <row r="208" spans="1:39" ht="15.75" customHeight="1" x14ac:dyDescent="0.35">
      <c r="A208" s="484"/>
      <c r="B208" s="484"/>
      <c r="C208" s="484"/>
      <c r="D208" s="484"/>
      <c r="E208" s="484"/>
      <c r="F208" s="484"/>
      <c r="G208" s="484"/>
      <c r="H208" s="484"/>
      <c r="I208" s="1084"/>
      <c r="J208" s="484"/>
      <c r="K208" s="484"/>
      <c r="L208" s="484"/>
      <c r="M208" s="484"/>
      <c r="N208" s="484"/>
      <c r="O208" s="484"/>
      <c r="P208" s="484"/>
      <c r="Q208" s="484"/>
      <c r="R208" s="484"/>
      <c r="S208" s="484"/>
      <c r="T208" s="484"/>
      <c r="U208" s="484"/>
      <c r="V208" s="484"/>
      <c r="W208" s="484"/>
      <c r="X208" s="484"/>
      <c r="Y208" s="484"/>
      <c r="Z208" s="484"/>
      <c r="AA208" s="484"/>
      <c r="AB208" s="484"/>
      <c r="AC208" s="484"/>
      <c r="AD208" s="484"/>
      <c r="AE208" s="484"/>
      <c r="AF208" s="484"/>
      <c r="AG208" s="484"/>
      <c r="AH208" s="484"/>
      <c r="AI208" s="484"/>
      <c r="AJ208" s="484"/>
      <c r="AK208" s="484"/>
      <c r="AL208" s="484"/>
      <c r="AM208" s="484"/>
    </row>
    <row r="209" spans="1:39" ht="15.75" customHeight="1" x14ac:dyDescent="0.35">
      <c r="A209" s="484"/>
      <c r="B209" s="484"/>
      <c r="C209" s="484"/>
      <c r="D209" s="484"/>
      <c r="E209" s="484"/>
      <c r="F209" s="484"/>
      <c r="G209" s="484"/>
      <c r="H209" s="484"/>
      <c r="I209" s="1084"/>
      <c r="J209" s="484"/>
      <c r="K209" s="484"/>
      <c r="L209" s="484"/>
      <c r="M209" s="484"/>
      <c r="N209" s="484"/>
      <c r="O209" s="484"/>
      <c r="P209" s="484"/>
      <c r="Q209" s="484"/>
      <c r="R209" s="484"/>
      <c r="S209" s="484"/>
      <c r="T209" s="484"/>
      <c r="U209" s="484"/>
      <c r="V209" s="484"/>
      <c r="W209" s="484"/>
      <c r="X209" s="484"/>
      <c r="Y209" s="484"/>
      <c r="Z209" s="484"/>
      <c r="AA209" s="484"/>
      <c r="AB209" s="484"/>
      <c r="AC209" s="484"/>
      <c r="AD209" s="484"/>
      <c r="AE209" s="484"/>
      <c r="AF209" s="484"/>
      <c r="AG209" s="484"/>
      <c r="AH209" s="484"/>
      <c r="AI209" s="484"/>
      <c r="AJ209" s="484"/>
      <c r="AK209" s="484"/>
      <c r="AL209" s="484"/>
      <c r="AM209" s="484"/>
    </row>
    <row r="210" spans="1:39" ht="15.75" customHeight="1" x14ac:dyDescent="0.35">
      <c r="A210" s="484"/>
      <c r="B210" s="484"/>
      <c r="C210" s="484"/>
      <c r="D210" s="484"/>
      <c r="E210" s="484"/>
      <c r="F210" s="484"/>
      <c r="G210" s="484"/>
      <c r="H210" s="484"/>
      <c r="I210" s="1084"/>
      <c r="J210" s="484"/>
      <c r="K210" s="484"/>
      <c r="L210" s="484"/>
      <c r="M210" s="484"/>
      <c r="N210" s="484"/>
      <c r="O210" s="484"/>
      <c r="P210" s="484"/>
      <c r="Q210" s="484"/>
      <c r="R210" s="484"/>
      <c r="S210" s="484"/>
      <c r="T210" s="484"/>
      <c r="U210" s="484"/>
      <c r="V210" s="484"/>
      <c r="W210" s="484"/>
      <c r="X210" s="484"/>
      <c r="Y210" s="484"/>
      <c r="Z210" s="484"/>
      <c r="AA210" s="484"/>
      <c r="AB210" s="484"/>
      <c r="AC210" s="484"/>
      <c r="AD210" s="484"/>
      <c r="AE210" s="484"/>
      <c r="AF210" s="484"/>
      <c r="AG210" s="484"/>
      <c r="AH210" s="484"/>
      <c r="AI210" s="484"/>
      <c r="AJ210" s="484"/>
      <c r="AK210" s="484"/>
      <c r="AL210" s="484"/>
      <c r="AM210" s="484"/>
    </row>
    <row r="211" spans="1:39" ht="15.75" customHeight="1" x14ac:dyDescent="0.35">
      <c r="A211" s="484"/>
      <c r="B211" s="484"/>
      <c r="C211" s="484"/>
      <c r="D211" s="484"/>
      <c r="E211" s="484"/>
      <c r="F211" s="484"/>
      <c r="G211" s="484"/>
      <c r="H211" s="484"/>
      <c r="I211" s="1084"/>
      <c r="J211" s="484"/>
      <c r="K211" s="484"/>
      <c r="L211" s="484"/>
      <c r="M211" s="484"/>
      <c r="N211" s="484"/>
      <c r="O211" s="484"/>
      <c r="P211" s="484"/>
      <c r="Q211" s="484"/>
      <c r="R211" s="484"/>
      <c r="S211" s="484"/>
      <c r="T211" s="484"/>
      <c r="U211" s="484"/>
      <c r="V211" s="484"/>
      <c r="W211" s="484"/>
      <c r="X211" s="484"/>
      <c r="Y211" s="484"/>
      <c r="Z211" s="484"/>
      <c r="AA211" s="484"/>
      <c r="AB211" s="484"/>
      <c r="AC211" s="484"/>
      <c r="AD211" s="484"/>
      <c r="AE211" s="484"/>
      <c r="AF211" s="484"/>
      <c r="AG211" s="484"/>
      <c r="AH211" s="484"/>
      <c r="AI211" s="484"/>
      <c r="AJ211" s="484"/>
      <c r="AK211" s="484"/>
      <c r="AL211" s="484"/>
      <c r="AM211" s="484"/>
    </row>
    <row r="212" spans="1:39" ht="15.75" customHeight="1" x14ac:dyDescent="0.35">
      <c r="A212" s="484"/>
      <c r="B212" s="484"/>
      <c r="C212" s="484"/>
      <c r="D212" s="484"/>
      <c r="E212" s="484"/>
      <c r="F212" s="484"/>
      <c r="G212" s="484"/>
      <c r="H212" s="484"/>
      <c r="I212" s="1084"/>
      <c r="J212" s="484"/>
      <c r="K212" s="484"/>
      <c r="L212" s="484"/>
      <c r="M212" s="484"/>
      <c r="N212" s="484"/>
      <c r="O212" s="484"/>
      <c r="P212" s="484"/>
      <c r="Q212" s="484"/>
      <c r="R212" s="484"/>
      <c r="S212" s="484"/>
      <c r="T212" s="484"/>
      <c r="U212" s="484"/>
      <c r="V212" s="484"/>
      <c r="W212" s="484"/>
      <c r="X212" s="484"/>
      <c r="Y212" s="484"/>
      <c r="Z212" s="484"/>
      <c r="AA212" s="484"/>
      <c r="AB212" s="484"/>
      <c r="AC212" s="484"/>
      <c r="AD212" s="484"/>
      <c r="AE212" s="484"/>
      <c r="AF212" s="484"/>
      <c r="AG212" s="484"/>
      <c r="AH212" s="484"/>
      <c r="AI212" s="484"/>
      <c r="AJ212" s="484"/>
      <c r="AK212" s="484"/>
      <c r="AL212" s="484"/>
      <c r="AM212" s="484"/>
    </row>
    <row r="213" spans="1:39" ht="15.75" customHeight="1" x14ac:dyDescent="0.35">
      <c r="A213" s="484"/>
      <c r="B213" s="484"/>
      <c r="C213" s="484"/>
      <c r="D213" s="484"/>
      <c r="E213" s="484"/>
      <c r="F213" s="484"/>
      <c r="G213" s="484"/>
      <c r="H213" s="484"/>
      <c r="I213" s="1084"/>
      <c r="J213" s="484"/>
      <c r="K213" s="484"/>
      <c r="L213" s="484"/>
      <c r="M213" s="484"/>
      <c r="N213" s="484"/>
      <c r="O213" s="484"/>
      <c r="P213" s="484"/>
      <c r="Q213" s="484"/>
      <c r="R213" s="484"/>
      <c r="S213" s="484"/>
      <c r="T213" s="484"/>
      <c r="U213" s="484"/>
      <c r="V213" s="484"/>
      <c r="W213" s="484"/>
      <c r="X213" s="484"/>
      <c r="Y213" s="484"/>
      <c r="Z213" s="484"/>
      <c r="AA213" s="484"/>
      <c r="AB213" s="484"/>
      <c r="AC213" s="484"/>
      <c r="AD213" s="484"/>
      <c r="AE213" s="484"/>
      <c r="AF213" s="484"/>
      <c r="AG213" s="484"/>
      <c r="AH213" s="484"/>
      <c r="AI213" s="484"/>
      <c r="AJ213" s="484"/>
      <c r="AK213" s="484"/>
      <c r="AL213" s="484"/>
      <c r="AM213" s="484"/>
    </row>
    <row r="214" spans="1:39" ht="15.75" customHeight="1" x14ac:dyDescent="0.35">
      <c r="A214" s="484"/>
      <c r="B214" s="484"/>
      <c r="C214" s="484"/>
      <c r="D214" s="484"/>
      <c r="E214" s="484"/>
      <c r="F214" s="484"/>
      <c r="G214" s="484"/>
      <c r="H214" s="484"/>
      <c r="I214" s="1084"/>
      <c r="J214" s="484"/>
      <c r="K214" s="484"/>
      <c r="L214" s="484"/>
      <c r="M214" s="484"/>
      <c r="N214" s="484"/>
      <c r="O214" s="484"/>
      <c r="P214" s="484"/>
      <c r="Q214" s="484"/>
      <c r="R214" s="484"/>
      <c r="S214" s="484"/>
      <c r="T214" s="484"/>
      <c r="U214" s="484"/>
      <c r="V214" s="484"/>
      <c r="W214" s="484"/>
      <c r="X214" s="484"/>
      <c r="Y214" s="484"/>
      <c r="Z214" s="484"/>
      <c r="AA214" s="484"/>
      <c r="AB214" s="484"/>
      <c r="AC214" s="484"/>
      <c r="AD214" s="484"/>
      <c r="AE214" s="484"/>
      <c r="AF214" s="484"/>
      <c r="AG214" s="484"/>
      <c r="AH214" s="484"/>
      <c r="AI214" s="484"/>
      <c r="AJ214" s="484"/>
      <c r="AK214" s="484"/>
      <c r="AL214" s="484"/>
      <c r="AM214" s="484"/>
    </row>
    <row r="215" spans="1:39" ht="15.75" customHeight="1" x14ac:dyDescent="0.35">
      <c r="A215" s="484"/>
      <c r="B215" s="484"/>
      <c r="C215" s="484"/>
      <c r="D215" s="484"/>
      <c r="E215" s="484"/>
      <c r="F215" s="484"/>
      <c r="G215" s="484"/>
      <c r="H215" s="484"/>
      <c r="I215" s="1084"/>
      <c r="J215" s="484"/>
      <c r="K215" s="484"/>
      <c r="L215" s="484"/>
      <c r="M215" s="484"/>
      <c r="N215" s="484"/>
      <c r="O215" s="484"/>
      <c r="P215" s="484"/>
      <c r="Q215" s="484"/>
      <c r="R215" s="484"/>
      <c r="S215" s="484"/>
      <c r="T215" s="484"/>
      <c r="U215" s="484"/>
      <c r="V215" s="484"/>
      <c r="W215" s="484"/>
      <c r="X215" s="484"/>
      <c r="Y215" s="484"/>
      <c r="Z215" s="484"/>
      <c r="AA215" s="484"/>
      <c r="AB215" s="484"/>
      <c r="AC215" s="484"/>
      <c r="AD215" s="484"/>
      <c r="AE215" s="484"/>
      <c r="AF215" s="484"/>
      <c r="AG215" s="484"/>
      <c r="AH215" s="484"/>
      <c r="AI215" s="484"/>
      <c r="AJ215" s="484"/>
      <c r="AK215" s="484"/>
      <c r="AL215" s="484"/>
      <c r="AM215" s="484"/>
    </row>
    <row r="216" spans="1:39" ht="15.75" customHeight="1" x14ac:dyDescent="0.35">
      <c r="A216" s="484"/>
      <c r="B216" s="484"/>
      <c r="C216" s="484"/>
      <c r="D216" s="484"/>
      <c r="E216" s="484"/>
      <c r="F216" s="484"/>
      <c r="G216" s="484"/>
      <c r="H216" s="484"/>
      <c r="I216" s="1084"/>
      <c r="J216" s="484"/>
      <c r="K216" s="484"/>
      <c r="L216" s="484"/>
      <c r="M216" s="484"/>
      <c r="N216" s="484"/>
      <c r="O216" s="484"/>
      <c r="P216" s="484"/>
      <c r="Q216" s="484"/>
      <c r="R216" s="484"/>
      <c r="S216" s="484"/>
      <c r="T216" s="484"/>
      <c r="U216" s="484"/>
      <c r="V216" s="484"/>
      <c r="W216" s="484"/>
      <c r="X216" s="484"/>
      <c r="Y216" s="484"/>
      <c r="Z216" s="484"/>
      <c r="AA216" s="484"/>
      <c r="AB216" s="484"/>
      <c r="AC216" s="484"/>
      <c r="AD216" s="484"/>
      <c r="AE216" s="484"/>
      <c r="AF216" s="484"/>
      <c r="AG216" s="484"/>
      <c r="AH216" s="484"/>
      <c r="AI216" s="484"/>
      <c r="AJ216" s="484"/>
      <c r="AK216" s="484"/>
      <c r="AL216" s="484"/>
      <c r="AM216" s="484"/>
    </row>
    <row r="217" spans="1:39" ht="15.75" customHeight="1" x14ac:dyDescent="0.35">
      <c r="A217" s="484"/>
      <c r="B217" s="484"/>
      <c r="C217" s="484"/>
      <c r="D217" s="484"/>
      <c r="E217" s="484"/>
      <c r="F217" s="484"/>
      <c r="G217" s="484"/>
      <c r="H217" s="484"/>
      <c r="I217" s="1084"/>
      <c r="J217" s="484"/>
      <c r="K217" s="484"/>
      <c r="L217" s="484"/>
      <c r="M217" s="484"/>
      <c r="N217" s="484"/>
      <c r="O217" s="484"/>
      <c r="P217" s="484"/>
      <c r="Q217" s="484"/>
      <c r="R217" s="484"/>
      <c r="S217" s="484"/>
      <c r="T217" s="484"/>
      <c r="U217" s="484"/>
      <c r="V217" s="484"/>
      <c r="W217" s="484"/>
      <c r="X217" s="484"/>
      <c r="Y217" s="484"/>
      <c r="Z217" s="484"/>
      <c r="AA217" s="484"/>
      <c r="AB217" s="484"/>
      <c r="AC217" s="484"/>
      <c r="AD217" s="484"/>
      <c r="AE217" s="484"/>
      <c r="AF217" s="484"/>
      <c r="AG217" s="484"/>
      <c r="AH217" s="484"/>
      <c r="AI217" s="484"/>
      <c r="AJ217" s="484"/>
      <c r="AK217" s="484"/>
      <c r="AL217" s="484"/>
      <c r="AM217" s="484"/>
    </row>
    <row r="218" spans="1:39" ht="15.75" customHeight="1" x14ac:dyDescent="0.35">
      <c r="A218" s="484"/>
      <c r="B218" s="484"/>
      <c r="C218" s="484"/>
      <c r="D218" s="484"/>
      <c r="E218" s="484"/>
      <c r="F218" s="484"/>
      <c r="G218" s="484"/>
      <c r="H218" s="484"/>
      <c r="I218" s="1084"/>
      <c r="J218" s="484"/>
      <c r="K218" s="484"/>
      <c r="L218" s="484"/>
      <c r="M218" s="484"/>
      <c r="N218" s="484"/>
      <c r="O218" s="484"/>
      <c r="P218" s="484"/>
      <c r="Q218" s="484"/>
      <c r="R218" s="484"/>
      <c r="S218" s="484"/>
      <c r="T218" s="484"/>
      <c r="U218" s="484"/>
      <c r="V218" s="484"/>
      <c r="W218" s="484"/>
      <c r="X218" s="484"/>
      <c r="Y218" s="484"/>
      <c r="Z218" s="484"/>
      <c r="AA218" s="484"/>
      <c r="AB218" s="484"/>
      <c r="AC218" s="484"/>
      <c r="AD218" s="484"/>
      <c r="AE218" s="484"/>
      <c r="AF218" s="484"/>
      <c r="AG218" s="484"/>
      <c r="AH218" s="484"/>
      <c r="AI218" s="484"/>
      <c r="AJ218" s="484"/>
      <c r="AK218" s="484"/>
      <c r="AL218" s="484"/>
      <c r="AM218" s="484"/>
    </row>
    <row r="219" spans="1:39" ht="15.75" customHeight="1" x14ac:dyDescent="0.35">
      <c r="A219" s="484"/>
      <c r="B219" s="484"/>
      <c r="C219" s="484"/>
      <c r="D219" s="484"/>
      <c r="E219" s="484"/>
      <c r="F219" s="484"/>
      <c r="G219" s="484"/>
      <c r="H219" s="484"/>
      <c r="I219" s="1084"/>
      <c r="J219" s="484"/>
      <c r="K219" s="484"/>
      <c r="L219" s="484"/>
      <c r="M219" s="484"/>
      <c r="N219" s="484"/>
      <c r="O219" s="484"/>
      <c r="P219" s="484"/>
      <c r="Q219" s="484"/>
      <c r="R219" s="484"/>
      <c r="S219" s="484"/>
      <c r="T219" s="484"/>
      <c r="U219" s="484"/>
      <c r="V219" s="484"/>
      <c r="W219" s="484"/>
      <c r="X219" s="484"/>
      <c r="Y219" s="484"/>
      <c r="Z219" s="484"/>
      <c r="AA219" s="484"/>
      <c r="AB219" s="484"/>
      <c r="AC219" s="484"/>
      <c r="AD219" s="484"/>
      <c r="AE219" s="484"/>
      <c r="AF219" s="484"/>
      <c r="AG219" s="484"/>
      <c r="AH219" s="484"/>
      <c r="AI219" s="484"/>
      <c r="AJ219" s="484"/>
      <c r="AK219" s="484"/>
      <c r="AL219" s="484"/>
      <c r="AM219" s="484"/>
    </row>
    <row r="220" spans="1:39" ht="15.75" customHeight="1" x14ac:dyDescent="0.35">
      <c r="A220" s="484"/>
      <c r="B220" s="484"/>
      <c r="C220" s="484"/>
      <c r="D220" s="484"/>
      <c r="E220" s="484"/>
      <c r="F220" s="484"/>
      <c r="G220" s="484"/>
      <c r="H220" s="484"/>
      <c r="I220" s="1084"/>
      <c r="J220" s="484"/>
      <c r="K220" s="484"/>
      <c r="L220" s="484"/>
      <c r="M220" s="484"/>
      <c r="N220" s="484"/>
      <c r="O220" s="484"/>
      <c r="P220" s="484"/>
      <c r="Q220" s="484"/>
      <c r="R220" s="484"/>
      <c r="S220" s="484"/>
      <c r="T220" s="484"/>
      <c r="U220" s="484"/>
      <c r="V220" s="484"/>
      <c r="W220" s="484"/>
      <c r="X220" s="484"/>
      <c r="Y220" s="484"/>
      <c r="Z220" s="484"/>
      <c r="AA220" s="484"/>
      <c r="AB220" s="484"/>
      <c r="AC220" s="484"/>
      <c r="AD220" s="484"/>
      <c r="AE220" s="484"/>
      <c r="AF220" s="484"/>
      <c r="AG220" s="484"/>
      <c r="AH220" s="484"/>
      <c r="AI220" s="484"/>
      <c r="AJ220" s="484"/>
      <c r="AK220" s="484"/>
      <c r="AL220" s="484"/>
      <c r="AM220" s="484"/>
    </row>
    <row r="221" spans="1:39" ht="15.75" customHeight="1" x14ac:dyDescent="0.35">
      <c r="A221" s="484"/>
      <c r="B221" s="484"/>
      <c r="C221" s="484"/>
      <c r="D221" s="484"/>
      <c r="E221" s="484"/>
      <c r="F221" s="484"/>
      <c r="G221" s="484"/>
      <c r="H221" s="484"/>
      <c r="I221" s="1084"/>
      <c r="J221" s="484"/>
      <c r="K221" s="484"/>
      <c r="L221" s="484"/>
      <c r="M221" s="484"/>
      <c r="N221" s="484"/>
      <c r="O221" s="484"/>
      <c r="P221" s="484"/>
      <c r="Q221" s="484"/>
      <c r="R221" s="484"/>
      <c r="S221" s="484"/>
      <c r="T221" s="484"/>
      <c r="U221" s="484"/>
      <c r="V221" s="484"/>
      <c r="W221" s="484"/>
      <c r="X221" s="484"/>
      <c r="Y221" s="484"/>
      <c r="Z221" s="484"/>
      <c r="AA221" s="484"/>
      <c r="AB221" s="484"/>
      <c r="AC221" s="484"/>
      <c r="AD221" s="484"/>
      <c r="AE221" s="484"/>
      <c r="AF221" s="484"/>
      <c r="AG221" s="484"/>
      <c r="AH221" s="484"/>
      <c r="AI221" s="484"/>
      <c r="AJ221" s="484"/>
      <c r="AK221" s="484"/>
      <c r="AL221" s="484"/>
      <c r="AM221" s="484"/>
    </row>
    <row r="222" spans="1:39" ht="15.75" customHeight="1" x14ac:dyDescent="0.35">
      <c r="A222" s="484"/>
      <c r="B222" s="484"/>
      <c r="C222" s="484"/>
      <c r="D222" s="484"/>
      <c r="E222" s="484"/>
      <c r="F222" s="484"/>
      <c r="G222" s="484"/>
      <c r="H222" s="484"/>
      <c r="I222" s="1084"/>
      <c r="J222" s="484"/>
      <c r="K222" s="484"/>
      <c r="L222" s="484"/>
      <c r="M222" s="484"/>
      <c r="N222" s="484"/>
      <c r="O222" s="484"/>
      <c r="P222" s="484"/>
      <c r="Q222" s="484"/>
      <c r="R222" s="484"/>
      <c r="S222" s="484"/>
      <c r="T222" s="484"/>
      <c r="U222" s="484"/>
      <c r="V222" s="484"/>
      <c r="W222" s="484"/>
      <c r="X222" s="484"/>
      <c r="Y222" s="484"/>
      <c r="Z222" s="484"/>
      <c r="AA222" s="484"/>
      <c r="AB222" s="484"/>
      <c r="AC222" s="484"/>
      <c r="AD222" s="484"/>
      <c r="AE222" s="484"/>
      <c r="AF222" s="484"/>
      <c r="AG222" s="484"/>
      <c r="AH222" s="484"/>
      <c r="AI222" s="484"/>
      <c r="AJ222" s="484"/>
      <c r="AK222" s="484"/>
      <c r="AL222" s="484"/>
      <c r="AM222" s="484"/>
    </row>
    <row r="223" spans="1:39" ht="15.75" customHeight="1" x14ac:dyDescent="0.35">
      <c r="A223" s="484"/>
      <c r="B223" s="484"/>
      <c r="C223" s="484"/>
      <c r="D223" s="484"/>
      <c r="E223" s="484"/>
      <c r="F223" s="484"/>
      <c r="G223" s="484"/>
      <c r="H223" s="484"/>
      <c r="I223" s="1084"/>
      <c r="J223" s="484"/>
      <c r="K223" s="484"/>
      <c r="L223" s="484"/>
      <c r="M223" s="484"/>
      <c r="N223" s="484"/>
      <c r="O223" s="484"/>
      <c r="P223" s="484"/>
      <c r="Q223" s="484"/>
      <c r="R223" s="484"/>
      <c r="S223" s="484"/>
      <c r="T223" s="484"/>
      <c r="U223" s="484"/>
      <c r="V223" s="484"/>
      <c r="W223" s="484"/>
      <c r="X223" s="484"/>
      <c r="Y223" s="484"/>
      <c r="Z223" s="484"/>
      <c r="AA223" s="484"/>
      <c r="AB223" s="484"/>
      <c r="AC223" s="484"/>
      <c r="AD223" s="484"/>
      <c r="AE223" s="484"/>
      <c r="AF223" s="484"/>
      <c r="AG223" s="484"/>
      <c r="AH223" s="484"/>
      <c r="AI223" s="484"/>
      <c r="AJ223" s="484"/>
      <c r="AK223" s="484"/>
      <c r="AL223" s="484"/>
      <c r="AM223" s="484"/>
    </row>
    <row r="224" spans="1:39" ht="15.75" customHeight="1" x14ac:dyDescent="0.35">
      <c r="A224" s="484"/>
      <c r="B224" s="484"/>
      <c r="C224" s="484"/>
      <c r="D224" s="484"/>
      <c r="E224" s="484"/>
      <c r="F224" s="484"/>
      <c r="G224" s="484"/>
      <c r="H224" s="484"/>
      <c r="I224" s="1084"/>
      <c r="J224" s="484"/>
      <c r="K224" s="484"/>
      <c r="L224" s="484"/>
      <c r="M224" s="484"/>
      <c r="N224" s="484"/>
      <c r="O224" s="484"/>
      <c r="P224" s="484"/>
      <c r="Q224" s="484"/>
      <c r="R224" s="484"/>
      <c r="S224" s="484"/>
      <c r="T224" s="484"/>
      <c r="U224" s="484"/>
      <c r="V224" s="484"/>
      <c r="W224" s="484"/>
      <c r="X224" s="484"/>
      <c r="Y224" s="484"/>
      <c r="Z224" s="484"/>
      <c r="AA224" s="484"/>
      <c r="AB224" s="484"/>
      <c r="AC224" s="484"/>
      <c r="AD224" s="484"/>
      <c r="AE224" s="484"/>
      <c r="AF224" s="484"/>
      <c r="AG224" s="484"/>
      <c r="AH224" s="484"/>
      <c r="AI224" s="484"/>
      <c r="AJ224" s="484"/>
      <c r="AK224" s="484"/>
      <c r="AL224" s="484"/>
      <c r="AM224" s="484"/>
    </row>
    <row r="225" spans="1:39" ht="15.75" customHeight="1" x14ac:dyDescent="0.35">
      <c r="A225" s="484"/>
      <c r="B225" s="484"/>
      <c r="C225" s="484"/>
      <c r="D225" s="484"/>
      <c r="E225" s="484"/>
      <c r="F225" s="484"/>
      <c r="G225" s="484"/>
      <c r="H225" s="484"/>
      <c r="I225" s="1084"/>
      <c r="J225" s="484"/>
      <c r="K225" s="484"/>
      <c r="L225" s="484"/>
      <c r="M225" s="484"/>
      <c r="N225" s="484"/>
      <c r="O225" s="484"/>
      <c r="P225" s="484"/>
      <c r="Q225" s="484"/>
      <c r="R225" s="484"/>
      <c r="S225" s="484"/>
      <c r="T225" s="484"/>
      <c r="U225" s="484"/>
      <c r="V225" s="484"/>
      <c r="W225" s="484"/>
      <c r="X225" s="484"/>
      <c r="Y225" s="484"/>
      <c r="Z225" s="484"/>
      <c r="AA225" s="484"/>
      <c r="AB225" s="484"/>
      <c r="AC225" s="484"/>
      <c r="AD225" s="484"/>
      <c r="AE225" s="484"/>
      <c r="AF225" s="484"/>
      <c r="AG225" s="484"/>
      <c r="AH225" s="484"/>
      <c r="AI225" s="484"/>
      <c r="AJ225" s="484"/>
      <c r="AK225" s="484"/>
      <c r="AL225" s="484"/>
      <c r="AM225" s="484"/>
    </row>
    <row r="226" spans="1:39" ht="15.75" customHeight="1" x14ac:dyDescent="0.35">
      <c r="A226" s="484"/>
      <c r="B226" s="484"/>
      <c r="C226" s="484"/>
      <c r="D226" s="484"/>
      <c r="E226" s="484"/>
      <c r="F226" s="484"/>
      <c r="G226" s="484"/>
      <c r="H226" s="484"/>
      <c r="I226" s="1084"/>
      <c r="J226" s="484"/>
      <c r="K226" s="484"/>
      <c r="L226" s="484"/>
      <c r="M226" s="484"/>
      <c r="N226" s="484"/>
      <c r="O226" s="484"/>
      <c r="P226" s="484"/>
      <c r="Q226" s="484"/>
      <c r="R226" s="484"/>
      <c r="S226" s="484"/>
      <c r="T226" s="484"/>
      <c r="U226" s="484"/>
      <c r="V226" s="484"/>
      <c r="W226" s="484"/>
      <c r="X226" s="484"/>
      <c r="Y226" s="484"/>
      <c r="Z226" s="484"/>
      <c r="AA226" s="484"/>
      <c r="AB226" s="484"/>
      <c r="AC226" s="484"/>
      <c r="AD226" s="484"/>
      <c r="AE226" s="484"/>
      <c r="AF226" s="484"/>
      <c r="AG226" s="484"/>
      <c r="AH226" s="484"/>
      <c r="AI226" s="484"/>
      <c r="AJ226" s="484"/>
      <c r="AK226" s="484"/>
      <c r="AL226" s="484"/>
      <c r="AM226" s="484"/>
    </row>
    <row r="227" spans="1:39" ht="15.75" customHeight="1" x14ac:dyDescent="0.35"/>
    <row r="228" spans="1:39" ht="15.75" customHeight="1" x14ac:dyDescent="0.35"/>
    <row r="229" spans="1:39" ht="15.75" customHeight="1" x14ac:dyDescent="0.35"/>
    <row r="230" spans="1:39" ht="15.75" customHeight="1" x14ac:dyDescent="0.35"/>
    <row r="231" spans="1:39" ht="15.75" customHeight="1" x14ac:dyDescent="0.35"/>
    <row r="232" spans="1:39" ht="15.75" customHeight="1" x14ac:dyDescent="0.35"/>
    <row r="233" spans="1:39" ht="15.75" customHeight="1" x14ac:dyDescent="0.35"/>
    <row r="234" spans="1:39" ht="15.75" customHeight="1" x14ac:dyDescent="0.35"/>
    <row r="235" spans="1:39" ht="15.75" customHeight="1" x14ac:dyDescent="0.35"/>
    <row r="236" spans="1:39" ht="15.75" customHeight="1" x14ac:dyDescent="0.35"/>
    <row r="237" spans="1:39" ht="15.75" customHeight="1" x14ac:dyDescent="0.35"/>
    <row r="238" spans="1:39" ht="15.75" customHeight="1" x14ac:dyDescent="0.35"/>
    <row r="239" spans="1:39" ht="15.75" customHeight="1" x14ac:dyDescent="0.35"/>
    <row r="240" spans="1:39"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knDU0BTH1M1WJu99LhqW0UV8JxvtuMfXXlCO4UhOeUpQiJblmiypIFzImPWr7/69LECcJLs4n12Pt/OpZAsKeg==" saltValue="1GSqXkcRsUWYR9Af7ExMXQ==" spinCount="100000" sheet="1" objects="1" scenarios="1"/>
  <mergeCells count="18">
    <mergeCell ref="Q22:S23"/>
    <mergeCell ref="B11:B20"/>
    <mergeCell ref="M11:O12"/>
    <mergeCell ref="B22:B27"/>
    <mergeCell ref="B4:B9"/>
    <mergeCell ref="D4:K4"/>
    <mergeCell ref="D11:K11"/>
    <mergeCell ref="D22:K22"/>
    <mergeCell ref="F24:G24"/>
    <mergeCell ref="F25:G25"/>
    <mergeCell ref="F26:G26"/>
    <mergeCell ref="F6:G6"/>
    <mergeCell ref="F7:G7"/>
    <mergeCell ref="F8:G8"/>
    <mergeCell ref="D3:I3"/>
    <mergeCell ref="B29:B37"/>
    <mergeCell ref="D29:K29"/>
    <mergeCell ref="E31:J36"/>
  </mergeCells>
  <hyperlinks>
    <hyperlink ref="Q4" r:id="rId1" xr:uid="{EE3E141B-A5A3-4160-A4B2-AE2127C58F78}"/>
    <hyperlink ref="Q22" r:id="rId2" xr:uid="{59B6F270-3B16-4DB3-8C6F-96C6F3934071}"/>
  </hyperlinks>
  <pageMargins left="0.7" right="0.7" top="0.75" bottom="0.75" header="0" footer="0"/>
  <pageSetup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outlinePr summaryBelow="0" summaryRight="0"/>
  </sheetPr>
  <dimension ref="A1:AV317"/>
  <sheetViews>
    <sheetView topLeftCell="B84" workbookViewId="0">
      <selection activeCell="M94" sqref="M94"/>
    </sheetView>
  </sheetViews>
  <sheetFormatPr defaultColWidth="14.453125" defaultRowHeight="14.5" x14ac:dyDescent="0.35"/>
  <cols>
    <col min="1" max="1" width="4.08984375" customWidth="1"/>
    <col min="2" max="2" width="32.6328125" customWidth="1"/>
    <col min="3" max="4" width="3.36328125" customWidth="1"/>
    <col min="5" max="15" width="14.6328125" customWidth="1"/>
    <col min="16" max="17" width="3.36328125" customWidth="1"/>
    <col min="18" max="18" width="38" customWidth="1"/>
    <col min="19" max="19" width="14.6328125" customWidth="1"/>
    <col min="20" max="20" width="3.36328125" customWidth="1"/>
    <col min="21" max="21" width="40" customWidth="1"/>
    <col min="22" max="22" width="27.6328125" bestFit="1" customWidth="1"/>
    <col min="23" max="23" width="4.6328125" customWidth="1"/>
  </cols>
  <sheetData>
    <row r="1" spans="1:41" ht="21" x14ac:dyDescent="0.35">
      <c r="A1" s="343"/>
      <c r="B1" s="343" t="s">
        <v>697</v>
      </c>
      <c r="C1" s="343"/>
      <c r="D1" s="343"/>
      <c r="E1" s="343"/>
      <c r="F1" s="343"/>
      <c r="G1" s="1080"/>
      <c r="H1" s="1080"/>
      <c r="I1" s="1080"/>
      <c r="J1" s="1080"/>
      <c r="K1" s="1080"/>
      <c r="L1" s="1080"/>
      <c r="M1" s="1080"/>
      <c r="N1" s="1080"/>
      <c r="O1" s="1080"/>
      <c r="P1" s="1080"/>
      <c r="Q1" s="1080"/>
      <c r="R1" s="1080"/>
      <c r="S1" s="1080"/>
      <c r="T1" s="1080"/>
      <c r="U1" s="1080"/>
      <c r="V1" s="1080"/>
      <c r="W1" s="335"/>
      <c r="X1" s="484"/>
      <c r="Y1" s="484"/>
      <c r="Z1" s="484"/>
      <c r="AA1" s="484"/>
      <c r="AB1" s="484"/>
      <c r="AC1" s="484"/>
      <c r="AD1" s="484"/>
      <c r="AE1" s="484"/>
      <c r="AF1" s="484"/>
      <c r="AG1" s="484"/>
      <c r="AH1" s="484"/>
      <c r="AI1" s="484"/>
      <c r="AJ1" s="484"/>
      <c r="AK1" s="484"/>
      <c r="AL1" s="484"/>
      <c r="AM1" s="484"/>
      <c r="AN1" s="484"/>
      <c r="AO1" s="484"/>
    </row>
    <row r="2" spans="1:41" x14ac:dyDescent="0.35">
      <c r="A2" s="484"/>
      <c r="B2" s="484"/>
      <c r="C2" s="484"/>
      <c r="D2" s="1082"/>
      <c r="E2" s="1082"/>
      <c r="F2" s="1082"/>
      <c r="G2" s="1083"/>
      <c r="H2" s="1083"/>
      <c r="I2" s="1083"/>
      <c r="J2" s="1083"/>
      <c r="K2" s="1083"/>
      <c r="L2" s="1083"/>
      <c r="M2" s="484"/>
      <c r="N2" s="484"/>
      <c r="O2" s="484"/>
      <c r="P2" s="484"/>
      <c r="Q2" s="484"/>
      <c r="R2" s="484"/>
      <c r="S2" s="484"/>
      <c r="T2" s="484"/>
      <c r="U2" s="484"/>
      <c r="V2" s="484"/>
      <c r="W2" s="335"/>
      <c r="X2" s="484"/>
      <c r="Y2" s="484"/>
      <c r="Z2" s="484"/>
      <c r="AA2" s="484"/>
      <c r="AB2" s="484"/>
      <c r="AC2" s="484"/>
      <c r="AD2" s="484"/>
      <c r="AE2" s="484"/>
      <c r="AF2" s="484"/>
      <c r="AG2" s="484"/>
      <c r="AH2" s="484"/>
      <c r="AI2" s="484"/>
      <c r="AJ2" s="484"/>
      <c r="AK2" s="484"/>
      <c r="AL2" s="484"/>
      <c r="AM2" s="484"/>
      <c r="AN2" s="484"/>
      <c r="AO2" s="484"/>
    </row>
    <row r="3" spans="1:41" s="694" customFormat="1" ht="15" thickBot="1" x14ac:dyDescent="0.4">
      <c r="A3" s="693"/>
      <c r="B3" s="493" t="s">
        <v>71</v>
      </c>
      <c r="C3" s="693"/>
      <c r="D3" s="1588" t="s">
        <v>683</v>
      </c>
      <c r="E3" s="1588"/>
      <c r="F3" s="1588"/>
      <c r="G3" s="1778"/>
      <c r="H3" s="1778"/>
      <c r="I3" s="1778"/>
      <c r="J3" s="1778"/>
      <c r="K3" s="1778"/>
      <c r="L3" s="1113"/>
      <c r="M3" s="693"/>
      <c r="N3" s="693"/>
      <c r="O3" s="693"/>
      <c r="P3" s="693"/>
      <c r="Q3" s="693"/>
      <c r="R3" s="493" t="s">
        <v>118</v>
      </c>
      <c r="S3" s="493"/>
      <c r="T3" s="493"/>
      <c r="U3" s="493" t="s">
        <v>119</v>
      </c>
      <c r="V3" s="693"/>
      <c r="W3" s="1114"/>
      <c r="X3" s="693"/>
      <c r="Y3" s="693"/>
      <c r="Z3" s="693"/>
      <c r="AA3" s="693"/>
      <c r="AB3" s="693"/>
      <c r="AC3" s="693"/>
      <c r="AD3" s="693"/>
      <c r="AE3" s="693"/>
      <c r="AF3" s="693"/>
      <c r="AG3" s="693"/>
      <c r="AH3" s="693"/>
      <c r="AI3" s="693"/>
      <c r="AJ3" s="693"/>
      <c r="AK3" s="693"/>
      <c r="AL3" s="693"/>
      <c r="AM3" s="693"/>
      <c r="AN3" s="693"/>
      <c r="AO3" s="693"/>
    </row>
    <row r="4" spans="1:41" s="752" customFormat="1" ht="13" x14ac:dyDescent="0.3">
      <c r="A4" s="1"/>
      <c r="B4" s="1622" t="s">
        <v>340</v>
      </c>
      <c r="C4" s="1"/>
      <c r="D4" s="1636" t="s">
        <v>1058</v>
      </c>
      <c r="E4" s="1637"/>
      <c r="F4" s="1637"/>
      <c r="G4" s="1637"/>
      <c r="H4" s="1637"/>
      <c r="I4" s="1637"/>
      <c r="J4" s="1637"/>
      <c r="K4" s="1637"/>
      <c r="L4" s="1637"/>
      <c r="M4" s="1637"/>
      <c r="N4" s="1637"/>
      <c r="O4" s="1637"/>
      <c r="P4" s="1638"/>
      <c r="Q4" s="1"/>
      <c r="R4" s="1717"/>
      <c r="S4" s="1717"/>
      <c r="T4" s="335"/>
      <c r="U4" s="1717"/>
      <c r="V4" s="1717"/>
      <c r="W4" s="335"/>
      <c r="X4" s="1"/>
      <c r="Y4" s="1"/>
      <c r="Z4" s="1"/>
      <c r="AA4" s="1"/>
      <c r="AB4" s="1"/>
      <c r="AC4" s="1"/>
      <c r="AD4" s="1"/>
      <c r="AE4" s="1"/>
      <c r="AF4" s="1"/>
      <c r="AG4" s="1"/>
      <c r="AH4" s="1"/>
      <c r="AI4" s="1"/>
      <c r="AJ4" s="1"/>
      <c r="AK4" s="1"/>
      <c r="AL4" s="1"/>
      <c r="AM4" s="1"/>
      <c r="AN4" s="1"/>
      <c r="AO4" s="1"/>
    </row>
    <row r="5" spans="1:41" s="743" customFormat="1" ht="13" x14ac:dyDescent="0.3">
      <c r="A5" s="1"/>
      <c r="B5" s="1622"/>
      <c r="C5" s="1"/>
      <c r="D5" s="921"/>
      <c r="E5" s="1019"/>
      <c r="F5" s="1019"/>
      <c r="G5" s="906"/>
      <c r="H5" s="906"/>
      <c r="I5" s="906"/>
      <c r="J5" s="1115"/>
      <c r="K5" s="906"/>
      <c r="L5" s="906"/>
      <c r="M5" s="906"/>
      <c r="N5" s="906"/>
      <c r="O5" s="906"/>
      <c r="P5" s="846"/>
      <c r="Q5" s="1"/>
      <c r="R5" s="1717"/>
      <c r="S5" s="1717"/>
      <c r="T5" s="1"/>
      <c r="U5" s="1717"/>
      <c r="V5" s="1717"/>
      <c r="W5" s="1"/>
      <c r="X5" s="1"/>
      <c r="Y5" s="1"/>
      <c r="Z5" s="1"/>
      <c r="AA5" s="1"/>
      <c r="AB5" s="1"/>
      <c r="AC5" s="1"/>
      <c r="AD5" s="1"/>
      <c r="AE5" s="1"/>
      <c r="AF5" s="1"/>
      <c r="AG5" s="1"/>
      <c r="AH5" s="1"/>
      <c r="AI5" s="1"/>
      <c r="AJ5" s="1"/>
      <c r="AK5" s="1"/>
      <c r="AL5" s="1"/>
      <c r="AM5" s="1"/>
      <c r="AN5" s="1"/>
      <c r="AO5" s="1"/>
    </row>
    <row r="6" spans="1:41" s="743" customFormat="1" ht="15" x14ac:dyDescent="0.3">
      <c r="A6" s="1"/>
      <c r="B6" s="1622"/>
      <c r="C6" s="1"/>
      <c r="D6" s="911"/>
      <c r="E6" s="1019"/>
      <c r="F6" s="1019"/>
      <c r="G6" s="906"/>
      <c r="H6" s="906"/>
      <c r="I6" s="906"/>
      <c r="J6" s="1115"/>
      <c r="K6" s="906"/>
      <c r="L6" s="906"/>
      <c r="M6" s="1116" t="str">
        <f>Introduction!N21</f>
        <v>Grid Electricity Carbon Emission Conversion Factor (?)</v>
      </c>
      <c r="N6" s="1117">
        <f>Carbon_per_kBtu_Electricity</f>
        <v>0.11330763094921563</v>
      </c>
      <c r="O6" s="517" t="s">
        <v>783</v>
      </c>
      <c r="P6" s="852"/>
      <c r="Q6" s="1"/>
      <c r="R6" s="1717"/>
      <c r="S6" s="1717"/>
      <c r="T6" s="1"/>
      <c r="U6" s="1717"/>
      <c r="V6" s="1717"/>
      <c r="W6" s="1"/>
      <c r="X6" s="1"/>
      <c r="Y6" s="1"/>
      <c r="Z6" s="1"/>
      <c r="AA6" s="1"/>
      <c r="AB6" s="1"/>
      <c r="AC6" s="1"/>
      <c r="AD6" s="1"/>
      <c r="AE6" s="1"/>
      <c r="AF6" s="1"/>
      <c r="AG6" s="1"/>
      <c r="AH6" s="1"/>
      <c r="AI6" s="1"/>
      <c r="AJ6" s="1"/>
      <c r="AK6" s="1"/>
      <c r="AL6" s="1"/>
      <c r="AM6" s="1"/>
      <c r="AN6" s="1"/>
      <c r="AO6" s="1"/>
    </row>
    <row r="7" spans="1:41" s="743" customFormat="1" ht="15" x14ac:dyDescent="0.3">
      <c r="A7" s="1"/>
      <c r="B7" s="1622"/>
      <c r="C7" s="1"/>
      <c r="D7" s="907"/>
      <c r="E7" s="11"/>
      <c r="F7" s="850"/>
      <c r="G7" s="344" t="s">
        <v>1115</v>
      </c>
      <c r="H7" s="986">
        <f ca="1">Energy_Use_Annual_Total_Benchmark</f>
        <v>0</v>
      </c>
      <c r="I7" s="345" t="s">
        <v>774</v>
      </c>
      <c r="J7" s="850"/>
      <c r="K7" s="11"/>
      <c r="L7" s="11"/>
      <c r="M7" s="344" t="s">
        <v>361</v>
      </c>
      <c r="N7" s="986">
        <f ca="1">Operational_Carbon_Annual_Total_Benchmark</f>
        <v>0</v>
      </c>
      <c r="O7" s="345" t="s">
        <v>783</v>
      </c>
      <c r="P7" s="852"/>
      <c r="Q7" s="1"/>
      <c r="R7" s="1717"/>
      <c r="S7" s="1717"/>
      <c r="T7" s="1"/>
      <c r="U7" s="1717"/>
      <c r="V7" s="1717"/>
      <c r="W7" s="1"/>
      <c r="X7" s="1"/>
      <c r="Y7" s="1"/>
      <c r="Z7" s="1"/>
      <c r="AA7" s="1"/>
      <c r="AB7" s="1"/>
      <c r="AC7" s="1"/>
      <c r="AD7" s="1"/>
      <c r="AE7" s="1"/>
      <c r="AF7" s="1"/>
      <c r="AG7" s="1"/>
      <c r="AH7" s="1"/>
      <c r="AI7" s="1"/>
      <c r="AJ7" s="1"/>
      <c r="AK7" s="1"/>
      <c r="AL7" s="1"/>
      <c r="AM7" s="1"/>
      <c r="AN7" s="1"/>
      <c r="AO7" s="1"/>
    </row>
    <row r="8" spans="1:41" s="743" customFormat="1" ht="15" x14ac:dyDescent="0.3">
      <c r="A8" s="1"/>
      <c r="B8" s="1622"/>
      <c r="C8" s="1"/>
      <c r="D8" s="907"/>
      <c r="E8" s="947"/>
      <c r="F8" s="839"/>
      <c r="G8" s="1118" t="s">
        <v>1116</v>
      </c>
      <c r="H8" s="912">
        <f ca="1">EUI_Benchmark</f>
        <v>0</v>
      </c>
      <c r="I8" s="528" t="s">
        <v>775</v>
      </c>
      <c r="J8" s="839"/>
      <c r="K8" s="947"/>
      <c r="L8" s="947"/>
      <c r="M8" s="1118" t="s">
        <v>1108</v>
      </c>
      <c r="N8" s="912">
        <f ca="1">Operational_Carbon_Intensity_Benchmark</f>
        <v>0</v>
      </c>
      <c r="O8" s="528" t="s">
        <v>784</v>
      </c>
      <c r="P8" s="852"/>
      <c r="Q8" s="1"/>
      <c r="R8" s="1717"/>
      <c r="S8" s="1717"/>
      <c r="T8" s="1"/>
      <c r="U8" s="1717"/>
      <c r="V8" s="1717"/>
      <c r="W8" s="1"/>
      <c r="X8" s="1"/>
      <c r="Y8" s="1"/>
      <c r="Z8" s="1"/>
      <c r="AA8" s="1"/>
      <c r="AB8" s="1"/>
      <c r="AC8" s="1"/>
      <c r="AD8" s="1"/>
      <c r="AE8" s="1"/>
      <c r="AF8" s="1"/>
      <c r="AG8" s="1"/>
      <c r="AH8" s="1"/>
      <c r="AI8" s="1"/>
      <c r="AJ8" s="1"/>
      <c r="AK8" s="1"/>
      <c r="AL8" s="1"/>
      <c r="AM8" s="1"/>
      <c r="AN8" s="1"/>
      <c r="AO8" s="1"/>
    </row>
    <row r="9" spans="1:41" s="743" customFormat="1" ht="13" x14ac:dyDescent="0.3">
      <c r="A9" s="1"/>
      <c r="B9" s="1119"/>
      <c r="C9" s="1"/>
      <c r="D9" s="946"/>
      <c r="E9" s="947"/>
      <c r="F9" s="947"/>
      <c r="G9" s="947"/>
      <c r="H9" s="947"/>
      <c r="I9" s="947"/>
      <c r="J9" s="947"/>
      <c r="K9" s="947"/>
      <c r="L9" s="947"/>
      <c r="M9" s="947"/>
      <c r="N9" s="947"/>
      <c r="O9" s="947"/>
      <c r="P9" s="858"/>
      <c r="Q9" s="1"/>
      <c r="R9" s="1000"/>
      <c r="S9" s="1000"/>
      <c r="T9" s="1"/>
      <c r="U9" s="1000"/>
      <c r="V9" s="1000"/>
      <c r="W9" s="1"/>
      <c r="X9" s="1"/>
      <c r="Y9" s="1"/>
      <c r="Z9" s="1"/>
      <c r="AA9" s="1"/>
      <c r="AB9" s="1"/>
      <c r="AC9" s="1"/>
      <c r="AD9" s="1"/>
      <c r="AE9" s="1"/>
      <c r="AF9" s="1"/>
      <c r="AG9" s="1"/>
      <c r="AH9" s="1"/>
      <c r="AI9" s="1"/>
      <c r="AJ9" s="1"/>
      <c r="AK9" s="1"/>
      <c r="AL9" s="1"/>
      <c r="AM9" s="1"/>
      <c r="AN9" s="1"/>
      <c r="AO9" s="1"/>
    </row>
    <row r="10" spans="1:41" s="743" customFormat="1" ht="13" x14ac:dyDescent="0.3">
      <c r="A10" s="1"/>
      <c r="B10" s="1"/>
      <c r="C10" s="1"/>
      <c r="D10" s="8"/>
      <c r="E10" s="8"/>
      <c r="F10" s="8"/>
      <c r="G10" s="8"/>
      <c r="H10" s="8"/>
      <c r="I10" s="8"/>
      <c r="J10" s="8"/>
      <c r="K10" s="8"/>
      <c r="L10" s="8"/>
      <c r="M10" s="8"/>
      <c r="N10" s="8"/>
      <c r="O10" s="8"/>
      <c r="P10" s="1"/>
      <c r="Q10" s="1"/>
      <c r="R10" s="1"/>
      <c r="S10" s="1"/>
      <c r="T10" s="1"/>
      <c r="U10" s="1"/>
      <c r="V10" s="1"/>
      <c r="W10" s="1"/>
      <c r="X10" s="1"/>
      <c r="Y10" s="1"/>
      <c r="Z10" s="1"/>
      <c r="AA10" s="1"/>
      <c r="AB10" s="1"/>
      <c r="AC10" s="1"/>
      <c r="AD10" s="1"/>
      <c r="AE10" s="1"/>
      <c r="AF10" s="1"/>
      <c r="AG10" s="1"/>
      <c r="AH10" s="1"/>
      <c r="AI10" s="1"/>
      <c r="AJ10" s="1"/>
      <c r="AK10" s="1"/>
      <c r="AL10" s="1"/>
      <c r="AM10" s="1"/>
      <c r="AN10" s="1"/>
      <c r="AO10" s="1"/>
    </row>
    <row r="11" spans="1:41" s="743" customFormat="1" ht="13.75" customHeight="1" x14ac:dyDescent="0.3">
      <c r="A11" s="1"/>
      <c r="B11" s="1663" t="s">
        <v>1241</v>
      </c>
      <c r="C11" s="1"/>
      <c r="D11" s="1636" t="s">
        <v>1037</v>
      </c>
      <c r="E11" s="1637"/>
      <c r="F11" s="1637"/>
      <c r="G11" s="1637"/>
      <c r="H11" s="1637"/>
      <c r="I11" s="1637"/>
      <c r="J11" s="1637"/>
      <c r="K11" s="1637"/>
      <c r="L11" s="1637"/>
      <c r="M11" s="1637"/>
      <c r="N11" s="1637"/>
      <c r="O11" s="1637"/>
      <c r="P11" s="1638"/>
      <c r="Q11" s="1"/>
      <c r="R11" s="1717" t="s">
        <v>343</v>
      </c>
      <c r="S11" s="1717"/>
      <c r="T11" s="1"/>
      <c r="U11" s="1120" t="s">
        <v>813</v>
      </c>
      <c r="V11" s="1121"/>
      <c r="W11" s="1"/>
      <c r="X11" s="1"/>
      <c r="Y11" s="1"/>
      <c r="Z11" s="1"/>
      <c r="AA11" s="1"/>
      <c r="AB11" s="1"/>
      <c r="AC11" s="1"/>
      <c r="AD11" s="1"/>
      <c r="AE11" s="1"/>
      <c r="AF11" s="1"/>
      <c r="AG11" s="1"/>
      <c r="AH11" s="1"/>
      <c r="AI11" s="1"/>
      <c r="AJ11" s="1"/>
      <c r="AK11" s="1"/>
      <c r="AL11" s="1"/>
      <c r="AM11" s="1"/>
      <c r="AN11" s="1"/>
      <c r="AO11" s="1"/>
    </row>
    <row r="12" spans="1:41" s="743" customFormat="1" ht="13" x14ac:dyDescent="0.3">
      <c r="A12" s="1"/>
      <c r="B12" s="1663"/>
      <c r="C12" s="1"/>
      <c r="D12" s="1122"/>
      <c r="E12" s="1123"/>
      <c r="F12" s="1124"/>
      <c r="G12" s="1125"/>
      <c r="H12" s="1126"/>
      <c r="I12" s="1126"/>
      <c r="J12" s="1126"/>
      <c r="K12" s="1126"/>
      <c r="L12" s="1126"/>
      <c r="M12" s="1126"/>
      <c r="N12" s="1126"/>
      <c r="O12" s="1126"/>
      <c r="P12" s="823"/>
      <c r="Q12" s="1"/>
      <c r="R12" s="1717"/>
      <c r="S12" s="1717"/>
      <c r="T12" s="1"/>
      <c r="U12" s="1746" t="str">
        <f>HYPERLINK("https://www.eia.gov/electricity/monthly/epm_table_grapher.php?t=epmt_5_6_a","EIA - Electricty Costs")</f>
        <v>EIA - Electricty Costs</v>
      </c>
      <c r="V12" s="1746"/>
      <c r="W12" s="1"/>
      <c r="X12" s="1"/>
      <c r="Y12" s="1"/>
      <c r="Z12" s="1"/>
      <c r="AA12" s="1"/>
      <c r="AB12" s="1"/>
      <c r="AC12" s="1"/>
      <c r="AD12" s="1"/>
      <c r="AE12" s="1"/>
      <c r="AF12" s="1"/>
      <c r="AG12" s="1"/>
      <c r="AH12" s="1"/>
      <c r="AI12" s="1"/>
      <c r="AJ12" s="1"/>
      <c r="AK12" s="1"/>
      <c r="AL12" s="1"/>
      <c r="AM12" s="1"/>
      <c r="AN12" s="1"/>
      <c r="AO12" s="1"/>
    </row>
    <row r="13" spans="1:41" s="743" customFormat="1" ht="13" x14ac:dyDescent="0.3">
      <c r="A13" s="1"/>
      <c r="B13" s="1663"/>
      <c r="C13" s="1"/>
      <c r="D13" s="1122"/>
      <c r="E13" s="1123"/>
      <c r="F13" s="1124"/>
      <c r="G13" s="1125"/>
      <c r="H13" s="1126"/>
      <c r="I13" s="1128" t="s">
        <v>1101</v>
      </c>
      <c r="J13" s="1779"/>
      <c r="K13" s="1779"/>
      <c r="L13" s="1779"/>
      <c r="M13" s="1520" t="s">
        <v>687</v>
      </c>
      <c r="N13" s="1521"/>
      <c r="O13" s="1521"/>
      <c r="P13" s="813"/>
      <c r="Q13" s="1"/>
      <c r="R13" s="1127" t="str">
        <f>HYPERLINK("https://portfoliomanager.energystar.gov/pdf/reference/Thermal%20Conversions.pdf","EPA - Energy Conversions")</f>
        <v>EPA - Energy Conversions</v>
      </c>
      <c r="S13" s="1127"/>
      <c r="T13" s="1"/>
      <c r="U13" s="1129" t="str">
        <f>HYPERLINK("https://www.eia.gov/dnav/ng/NG_PRI_SUM_DCU_NUS_M.htm","EIA - Natural Gas Costs")</f>
        <v>EIA - Natural Gas Costs</v>
      </c>
      <c r="V13" s="1129"/>
      <c r="W13" s="1"/>
      <c r="X13" s="1"/>
      <c r="Y13" s="1"/>
      <c r="Z13" s="1"/>
      <c r="AA13" s="1"/>
      <c r="AB13" s="1"/>
      <c r="AC13" s="1"/>
      <c r="AD13" s="1"/>
      <c r="AE13" s="1"/>
      <c r="AF13" s="1"/>
      <c r="AG13" s="1"/>
      <c r="AH13" s="1"/>
      <c r="AI13" s="1"/>
      <c r="AJ13" s="1"/>
      <c r="AK13" s="1"/>
      <c r="AL13" s="1"/>
      <c r="AM13" s="1"/>
      <c r="AN13" s="1"/>
      <c r="AO13" s="1"/>
    </row>
    <row r="14" spans="1:41" s="743" customFormat="1" ht="13" x14ac:dyDescent="0.3">
      <c r="A14" s="1"/>
      <c r="B14" s="1663"/>
      <c r="C14" s="1"/>
      <c r="D14" s="1122"/>
      <c r="E14" s="1123"/>
      <c r="F14" s="1124"/>
      <c r="G14" s="1125"/>
      <c r="H14" s="1126"/>
      <c r="I14" s="1128" t="s">
        <v>933</v>
      </c>
      <c r="J14" s="1779"/>
      <c r="K14" s="1779"/>
      <c r="L14" s="1779"/>
      <c r="M14" s="1520" t="s">
        <v>687</v>
      </c>
      <c r="N14" s="1521"/>
      <c r="O14" s="1521"/>
      <c r="P14" s="813"/>
      <c r="Q14" s="1"/>
      <c r="R14" s="25"/>
      <c r="S14" s="25"/>
      <c r="T14" s="1"/>
      <c r="U14" s="1129" t="s">
        <v>1111</v>
      </c>
      <c r="V14" s="25"/>
      <c r="W14" s="1"/>
      <c r="X14" s="1"/>
      <c r="Y14" s="1"/>
      <c r="Z14" s="1"/>
      <c r="AA14" s="1"/>
      <c r="AB14" s="1"/>
      <c r="AC14" s="1"/>
      <c r="AD14" s="1"/>
      <c r="AE14" s="1"/>
      <c r="AF14" s="1"/>
      <c r="AG14" s="1"/>
      <c r="AH14" s="1"/>
      <c r="AI14" s="1"/>
      <c r="AJ14" s="1"/>
      <c r="AK14" s="1"/>
      <c r="AL14" s="1"/>
      <c r="AM14" s="1"/>
      <c r="AN14" s="1"/>
      <c r="AO14" s="1"/>
    </row>
    <row r="15" spans="1:41" s="743" customFormat="1" ht="13" x14ac:dyDescent="0.3">
      <c r="A15" s="1"/>
      <c r="B15" s="1663"/>
      <c r="C15" s="1"/>
      <c r="D15" s="1122"/>
      <c r="E15" s="1123"/>
      <c r="F15" s="1124"/>
      <c r="G15" s="1125"/>
      <c r="H15" s="1126"/>
      <c r="I15" s="1130" t="s">
        <v>1102</v>
      </c>
      <c r="J15" s="1131"/>
      <c r="K15" s="1521"/>
      <c r="L15" s="1521"/>
      <c r="M15" s="1521"/>
      <c r="N15" s="1521"/>
      <c r="O15" s="1521"/>
      <c r="P15" s="813"/>
      <c r="Q15" s="1"/>
      <c r="R15" s="1132" t="s">
        <v>1090</v>
      </c>
      <c r="S15" s="1133"/>
      <c r="T15" s="1"/>
      <c r="U15" s="25"/>
      <c r="V15" s="25"/>
      <c r="W15" s="1"/>
      <c r="X15" s="1"/>
      <c r="Y15" s="1"/>
      <c r="Z15" s="1"/>
      <c r="AA15" s="1"/>
      <c r="AB15" s="1"/>
      <c r="AC15" s="1"/>
      <c r="AD15" s="1"/>
      <c r="AE15" s="1"/>
      <c r="AF15" s="1"/>
      <c r="AG15" s="1"/>
      <c r="AH15" s="1"/>
      <c r="AI15" s="1"/>
      <c r="AJ15" s="1"/>
      <c r="AK15" s="1"/>
      <c r="AL15" s="1"/>
      <c r="AM15" s="1"/>
      <c r="AN15" s="1"/>
      <c r="AO15" s="1"/>
    </row>
    <row r="16" spans="1:41" s="743" customFormat="1" ht="13" x14ac:dyDescent="0.3">
      <c r="A16" s="1"/>
      <c r="B16" s="1663"/>
      <c r="C16" s="1"/>
      <c r="D16" s="1122"/>
      <c r="E16" s="1123"/>
      <c r="F16" s="1124"/>
      <c r="G16" s="821"/>
      <c r="H16" s="821"/>
      <c r="I16" s="821"/>
      <c r="J16" s="821"/>
      <c r="K16" s="1521"/>
      <c r="L16" s="1521"/>
      <c r="M16" s="1521"/>
      <c r="N16" s="1522"/>
      <c r="O16" s="1522"/>
      <c r="P16" s="813"/>
      <c r="Q16" s="1"/>
      <c r="R16" s="1120" t="s">
        <v>349</v>
      </c>
      <c r="S16" s="1134" t="s">
        <v>1088</v>
      </c>
      <c r="T16" s="1"/>
      <c r="U16" s="1552" t="str">
        <f>'Reference Tables'!AG5</f>
        <v>National Average Values for Operational Carbon Emissions</v>
      </c>
      <c r="V16" s="1553"/>
      <c r="W16" s="1"/>
      <c r="X16" s="1"/>
      <c r="Y16" s="1"/>
      <c r="Z16" s="1"/>
      <c r="AA16" s="1"/>
      <c r="AB16" s="1"/>
      <c r="AC16" s="1"/>
      <c r="AD16" s="1"/>
      <c r="AE16" s="1"/>
      <c r="AF16" s="1"/>
      <c r="AG16" s="1"/>
      <c r="AH16" s="1"/>
      <c r="AI16" s="1"/>
      <c r="AJ16" s="1"/>
      <c r="AK16" s="1"/>
      <c r="AL16" s="1"/>
      <c r="AM16" s="1"/>
      <c r="AN16" s="1"/>
      <c r="AO16" s="1"/>
    </row>
    <row r="17" spans="1:41" s="743" customFormat="1" ht="13" x14ac:dyDescent="0.3">
      <c r="A17" s="1"/>
      <c r="B17" s="1663"/>
      <c r="C17" s="1"/>
      <c r="D17" s="1122"/>
      <c r="E17" s="1123"/>
      <c r="F17" s="1124"/>
      <c r="G17" s="1125"/>
      <c r="H17" s="1126"/>
      <c r="I17" s="1135" t="s">
        <v>1117</v>
      </c>
      <c r="J17" s="1780"/>
      <c r="K17" s="1780"/>
      <c r="L17" s="1780"/>
      <c r="M17" s="1520" t="s">
        <v>687</v>
      </c>
      <c r="N17" s="1136" t="s">
        <v>1121</v>
      </c>
      <c r="O17" s="1521"/>
      <c r="P17" s="813"/>
      <c r="Q17" s="1"/>
      <c r="R17" s="1137" t="s">
        <v>350</v>
      </c>
      <c r="S17" s="1137">
        <v>1</v>
      </c>
      <c r="T17" s="1"/>
      <c r="U17" s="1550" t="str">
        <f>'Reference Tables'!AG15</f>
        <v>Fuel Source</v>
      </c>
      <c r="V17" s="1551" t="str">
        <f>'Reference Tables'!AH15</f>
        <v>Emissions Factor
(kg-CO2e/kBtu)</v>
      </c>
      <c r="W17" s="1"/>
      <c r="X17" s="1"/>
      <c r="Y17" s="1"/>
      <c r="Z17" s="1"/>
      <c r="AA17" s="1"/>
      <c r="AB17" s="1"/>
      <c r="AC17" s="1"/>
      <c r="AD17" s="1"/>
      <c r="AE17" s="1"/>
      <c r="AF17" s="1"/>
      <c r="AG17" s="1"/>
      <c r="AH17" s="1"/>
      <c r="AI17" s="1"/>
      <c r="AJ17" s="1"/>
      <c r="AK17" s="1"/>
      <c r="AL17" s="1"/>
      <c r="AM17" s="1"/>
      <c r="AN17" s="1"/>
      <c r="AO17" s="1"/>
    </row>
    <row r="18" spans="1:41" s="743" customFormat="1" ht="13" x14ac:dyDescent="0.3">
      <c r="A18" s="1"/>
      <c r="B18" s="1663"/>
      <c r="C18" s="1"/>
      <c r="D18" s="1122"/>
      <c r="E18" s="1123"/>
      <c r="F18" s="1139"/>
      <c r="G18" s="1125"/>
      <c r="H18" s="1125"/>
      <c r="I18" s="1135" t="s">
        <v>1119</v>
      </c>
      <c r="J18" s="1780"/>
      <c r="K18" s="1780"/>
      <c r="L18" s="1780"/>
      <c r="M18" s="1520" t="s">
        <v>687</v>
      </c>
      <c r="N18" s="1141" t="s">
        <v>1121</v>
      </c>
      <c r="O18" s="1523"/>
      <c r="P18" s="813"/>
      <c r="Q18" s="1"/>
      <c r="R18" s="1137" t="s">
        <v>346</v>
      </c>
      <c r="S18" s="1137">
        <v>1000</v>
      </c>
      <c r="T18" s="1"/>
      <c r="U18" s="1138" t="str">
        <f>'Reference Tables'!AG17</f>
        <v>Electricity</v>
      </c>
      <c r="V18" s="1545">
        <f>'Reference Tables'!AH17</f>
        <v>0.11330763094921563</v>
      </c>
      <c r="W18" s="1"/>
      <c r="X18" s="1"/>
      <c r="Y18" s="1"/>
      <c r="Z18" s="1"/>
      <c r="AA18" s="1"/>
      <c r="AB18" s="1"/>
      <c r="AC18" s="1"/>
      <c r="AD18" s="1"/>
      <c r="AE18" s="1"/>
      <c r="AF18" s="1"/>
      <c r="AG18" s="1"/>
      <c r="AH18" s="1"/>
      <c r="AI18" s="1"/>
      <c r="AJ18" s="1"/>
      <c r="AK18" s="1"/>
      <c r="AL18" s="1"/>
      <c r="AM18" s="1"/>
      <c r="AN18" s="1"/>
      <c r="AO18" s="1"/>
    </row>
    <row r="19" spans="1:41" s="743" customFormat="1" ht="13" x14ac:dyDescent="0.3">
      <c r="A19" s="1"/>
      <c r="B19" s="1663"/>
      <c r="C19" s="1"/>
      <c r="D19" s="1122"/>
      <c r="E19" s="1123"/>
      <c r="F19" s="1125"/>
      <c r="G19" s="1139"/>
      <c r="H19" s="1139"/>
      <c r="I19" s="1140" t="s">
        <v>1120</v>
      </c>
      <c r="J19" s="1780"/>
      <c r="K19" s="1780"/>
      <c r="L19" s="1780"/>
      <c r="M19" s="1520" t="s">
        <v>687</v>
      </c>
      <c r="N19" s="1141" t="s">
        <v>1175</v>
      </c>
      <c r="O19" s="1523"/>
      <c r="P19" s="813"/>
      <c r="Q19" s="1"/>
      <c r="R19" s="1137" t="s">
        <v>351</v>
      </c>
      <c r="S19" s="1137">
        <v>947.81700000000001</v>
      </c>
      <c r="T19" s="1"/>
      <c r="U19" s="1138" t="str">
        <f>'Reference Tables'!AG18</f>
        <v>Biomass - Wood</v>
      </c>
      <c r="V19" s="1545">
        <f>'Reference Tables'!AH18</f>
        <v>9.5049999999999996E-2</v>
      </c>
      <c r="W19" s="1"/>
      <c r="X19" s="1"/>
      <c r="Y19" s="1"/>
      <c r="Z19" s="1"/>
      <c r="AA19" s="1"/>
      <c r="AB19" s="1"/>
      <c r="AC19" s="1"/>
      <c r="AD19" s="1"/>
      <c r="AE19" s="1"/>
      <c r="AF19" s="1"/>
      <c r="AG19" s="1"/>
      <c r="AH19" s="1"/>
      <c r="AI19" s="1"/>
      <c r="AJ19" s="1"/>
      <c r="AK19" s="1"/>
      <c r="AL19" s="1"/>
      <c r="AM19" s="1"/>
      <c r="AN19" s="1"/>
      <c r="AO19" s="1"/>
    </row>
    <row r="20" spans="1:41" s="743" customFormat="1" ht="13" x14ac:dyDescent="0.3">
      <c r="A20" s="1"/>
      <c r="B20" s="1663"/>
      <c r="C20" s="1"/>
      <c r="D20" s="1122"/>
      <c r="E20" s="1123"/>
      <c r="F20" s="1125"/>
      <c r="G20" s="1125"/>
      <c r="H20" s="1125"/>
      <c r="I20" s="1135" t="s">
        <v>1118</v>
      </c>
      <c r="J20" s="1781"/>
      <c r="K20" s="1781"/>
      <c r="L20" s="1781"/>
      <c r="M20" s="1520" t="s">
        <v>687</v>
      </c>
      <c r="N20" s="1141" t="s">
        <v>1122</v>
      </c>
      <c r="O20" s="1523"/>
      <c r="P20" s="813"/>
      <c r="Q20" s="1"/>
      <c r="R20" s="1137" t="s">
        <v>345</v>
      </c>
      <c r="S20" s="1137">
        <v>3.41214</v>
      </c>
      <c r="T20" s="1142"/>
      <c r="U20" s="1138" t="str">
        <f>'Reference Tables'!AG19</f>
        <v>Natural Gas</v>
      </c>
      <c r="V20" s="1545">
        <f>'Reference Tables'!AH19</f>
        <v>5.3109999999999997E-2</v>
      </c>
      <c r="W20" s="1"/>
      <c r="X20" s="1"/>
      <c r="Y20" s="1"/>
      <c r="Z20" s="1"/>
      <c r="AA20" s="1"/>
      <c r="AB20" s="1"/>
      <c r="AC20" s="1"/>
      <c r="AD20" s="1"/>
      <c r="AE20" s="1"/>
      <c r="AF20" s="1"/>
      <c r="AG20" s="1"/>
      <c r="AH20" s="1"/>
      <c r="AI20" s="1"/>
      <c r="AJ20" s="1"/>
      <c r="AK20" s="1"/>
      <c r="AL20" s="1"/>
      <c r="AM20" s="1"/>
      <c r="AN20" s="1"/>
      <c r="AO20" s="1"/>
    </row>
    <row r="21" spans="1:41" s="743" customFormat="1" ht="13" x14ac:dyDescent="0.3">
      <c r="A21" s="1"/>
      <c r="B21" s="1663"/>
      <c r="C21" s="1"/>
      <c r="D21" s="1122"/>
      <c r="E21" s="1123"/>
      <c r="F21" s="1124"/>
      <c r="G21" s="1125"/>
      <c r="H21" s="1126"/>
      <c r="I21" s="1126"/>
      <c r="J21" s="1131"/>
      <c r="K21" s="1521"/>
      <c r="L21" s="1521"/>
      <c r="M21" s="1521"/>
      <c r="N21" s="1523"/>
      <c r="O21" s="1521"/>
      <c r="P21" s="813"/>
      <c r="Q21" s="1"/>
      <c r="R21" s="1137" t="s">
        <v>352</v>
      </c>
      <c r="S21" s="1137">
        <v>3412.14</v>
      </c>
      <c r="T21" s="1"/>
      <c r="U21" s="1138" t="str">
        <f>'Reference Tables'!AG20</f>
        <v>Propane</v>
      </c>
      <c r="V21" s="1545">
        <f>'Reference Tables'!AH20</f>
        <v>6.4250000000000002E-2</v>
      </c>
      <c r="W21" s="1"/>
      <c r="X21" s="1"/>
      <c r="Y21" s="1"/>
      <c r="Z21" s="1"/>
      <c r="AA21" s="1"/>
      <c r="AB21" s="1"/>
      <c r="AC21" s="1"/>
      <c r="AD21" s="1"/>
      <c r="AE21" s="1"/>
      <c r="AF21" s="1"/>
      <c r="AG21" s="1"/>
      <c r="AH21" s="1"/>
      <c r="AI21" s="1"/>
      <c r="AJ21" s="1"/>
      <c r="AK21" s="1"/>
      <c r="AL21" s="1"/>
      <c r="AM21" s="1"/>
      <c r="AN21" s="1"/>
      <c r="AO21" s="1"/>
    </row>
    <row r="22" spans="1:41" s="743" customFormat="1" ht="13" x14ac:dyDescent="0.3">
      <c r="A22" s="1"/>
      <c r="B22" s="1663"/>
      <c r="C22" s="1"/>
      <c r="D22" s="1122"/>
      <c r="E22" s="1143" t="s">
        <v>772</v>
      </c>
      <c r="F22" s="839"/>
      <c r="G22" s="1125"/>
      <c r="H22" s="1125"/>
      <c r="I22" s="1125"/>
      <c r="J22" s="1125"/>
      <c r="K22" s="1125"/>
      <c r="L22" s="1125"/>
      <c r="M22" s="1125"/>
      <c r="N22" s="1125"/>
      <c r="O22" s="1125"/>
      <c r="P22" s="813"/>
      <c r="Q22" s="1"/>
      <c r="R22" s="1137" t="s">
        <v>348</v>
      </c>
      <c r="S22" s="1137">
        <v>1.194</v>
      </c>
      <c r="T22" s="1"/>
      <c r="U22" s="1138" t="str">
        <f>'Reference Tables'!AG21</f>
        <v>Fuel Oil</v>
      </c>
      <c r="V22" s="1545">
        <f>'Reference Tables'!AH21</f>
        <v>7.4209999999999998E-2</v>
      </c>
      <c r="W22" s="1"/>
      <c r="X22" s="1"/>
      <c r="Y22" s="1"/>
      <c r="Z22" s="1"/>
      <c r="AA22" s="1"/>
      <c r="AB22" s="1"/>
      <c r="AC22" s="1"/>
      <c r="AD22" s="1"/>
      <c r="AE22" s="1"/>
      <c r="AF22" s="1"/>
      <c r="AG22" s="1"/>
      <c r="AH22" s="1"/>
      <c r="AI22" s="1"/>
      <c r="AJ22" s="1"/>
      <c r="AK22" s="1"/>
      <c r="AL22" s="1"/>
      <c r="AM22" s="1"/>
      <c r="AN22" s="1"/>
      <c r="AO22" s="1"/>
    </row>
    <row r="23" spans="1:41" s="743" customFormat="1" ht="13" x14ac:dyDescent="0.3">
      <c r="A23" s="1"/>
      <c r="B23" s="1663"/>
      <c r="C23" s="1"/>
      <c r="D23" s="1122"/>
      <c r="E23" s="1123"/>
      <c r="F23" s="1144"/>
      <c r="G23" s="1782" t="s">
        <v>1082</v>
      </c>
      <c r="H23" s="1785"/>
      <c r="I23" s="1785"/>
      <c r="J23" s="1785"/>
      <c r="K23" s="1786"/>
      <c r="L23" s="1145"/>
      <c r="M23" s="1782" t="s">
        <v>1083</v>
      </c>
      <c r="N23" s="1783"/>
      <c r="O23" s="1784"/>
      <c r="P23" s="915"/>
      <c r="Q23" s="1"/>
      <c r="R23" s="1137" t="s">
        <v>347</v>
      </c>
      <c r="S23" s="1137">
        <v>1194</v>
      </c>
      <c r="T23" s="1"/>
      <c r="U23" s="1138" t="str">
        <f>'Reference Tables'!AG22</f>
        <v>District Steam / Hot Water</v>
      </c>
      <c r="V23" s="1545">
        <f>'Reference Tables'!AH22</f>
        <v>6.6400000000000001E-2</v>
      </c>
      <c r="W23" s="1"/>
      <c r="X23" s="1"/>
      <c r="Y23" s="1"/>
      <c r="Z23" s="1"/>
      <c r="AA23" s="1"/>
      <c r="AB23" s="1"/>
      <c r="AC23" s="1"/>
      <c r="AD23" s="1"/>
      <c r="AE23" s="1"/>
      <c r="AF23" s="1"/>
      <c r="AG23" s="1"/>
      <c r="AH23" s="1"/>
      <c r="AI23" s="1"/>
      <c r="AJ23" s="1"/>
      <c r="AK23" s="1"/>
      <c r="AL23" s="1"/>
      <c r="AM23" s="1"/>
      <c r="AN23" s="1"/>
      <c r="AO23" s="1"/>
    </row>
    <row r="24" spans="1:41" s="743" customFormat="1" ht="13.75" customHeight="1" x14ac:dyDescent="0.3">
      <c r="A24" s="1"/>
      <c r="B24" s="1663"/>
      <c r="C24" s="1"/>
      <c r="D24" s="1122"/>
      <c r="E24" s="1123"/>
      <c r="F24" s="1146" t="s">
        <v>1042</v>
      </c>
      <c r="G24" s="1755" t="s">
        <v>551</v>
      </c>
      <c r="H24" s="1757" t="s">
        <v>344</v>
      </c>
      <c r="I24" s="1757" t="s">
        <v>1105</v>
      </c>
      <c r="J24" s="1757" t="s">
        <v>554</v>
      </c>
      <c r="K24" s="1757" t="s">
        <v>553</v>
      </c>
      <c r="L24" s="1776" t="s">
        <v>687</v>
      </c>
      <c r="M24" s="1759" t="s">
        <v>1043</v>
      </c>
      <c r="N24" s="1760"/>
      <c r="O24" s="1755" t="s">
        <v>1044</v>
      </c>
      <c r="P24" s="915"/>
      <c r="Q24" s="1"/>
      <c r="R24" s="1137" t="s">
        <v>353</v>
      </c>
      <c r="S24" s="1137">
        <v>1194000</v>
      </c>
      <c r="T24" s="1"/>
      <c r="U24" s="1138" t="str">
        <f>'Reference Tables'!AG23</f>
        <v>DCW - Electric Driven</v>
      </c>
      <c r="V24" s="1545">
        <f>'Reference Tables'!AH23</f>
        <v>5.2700000000000004E-2</v>
      </c>
      <c r="W24" s="1"/>
      <c r="X24" s="1"/>
      <c r="Y24" s="335"/>
      <c r="Z24" s="335"/>
      <c r="AA24" s="335"/>
      <c r="AB24" s="335"/>
      <c r="AC24" s="335"/>
      <c r="AD24" s="335"/>
      <c r="AE24" s="335"/>
      <c r="AF24" s="1"/>
      <c r="AG24" s="1"/>
      <c r="AH24" s="1"/>
      <c r="AI24" s="1"/>
      <c r="AJ24" s="1"/>
      <c r="AK24" s="1"/>
      <c r="AL24" s="1"/>
      <c r="AM24" s="1"/>
      <c r="AN24" s="1"/>
      <c r="AO24" s="1"/>
    </row>
    <row r="25" spans="1:41" s="743" customFormat="1" ht="13" x14ac:dyDescent="0.3">
      <c r="A25" s="1"/>
      <c r="B25" s="1663"/>
      <c r="C25" s="1"/>
      <c r="D25" s="1122"/>
      <c r="E25" s="1123"/>
      <c r="F25" s="1146"/>
      <c r="G25" s="1756"/>
      <c r="H25" s="1758"/>
      <c r="I25" s="1758"/>
      <c r="J25" s="1758"/>
      <c r="K25" s="1758"/>
      <c r="L25" s="1776"/>
      <c r="M25" s="1148" t="s">
        <v>1078</v>
      </c>
      <c r="N25" s="1149" t="s">
        <v>1045</v>
      </c>
      <c r="O25" s="1756"/>
      <c r="P25" s="915"/>
      <c r="Q25" s="1"/>
      <c r="R25" s="1137" t="s">
        <v>354</v>
      </c>
      <c r="S25" s="1137">
        <v>100</v>
      </c>
      <c r="T25" s="1"/>
      <c r="U25" s="1138" t="str">
        <f>'Reference Tables'!AG24</f>
        <v>DCW - Natural Gas Absorption</v>
      </c>
      <c r="V25" s="1545">
        <f>'Reference Tables'!AH24</f>
        <v>7.3889999999999997E-2</v>
      </c>
      <c r="W25" s="1"/>
      <c r="X25" s="1"/>
      <c r="Y25" s="335"/>
      <c r="Z25" s="335"/>
      <c r="AA25" s="335"/>
      <c r="AB25" s="335"/>
      <c r="AC25" s="335"/>
      <c r="AD25" s="335"/>
      <c r="AE25" s="335"/>
      <c r="AF25" s="1"/>
      <c r="AG25" s="1"/>
      <c r="AH25" s="1"/>
      <c r="AI25" s="1"/>
      <c r="AJ25" s="1"/>
      <c r="AK25" s="1"/>
      <c r="AL25" s="1"/>
      <c r="AM25" s="1"/>
      <c r="AN25" s="1"/>
      <c r="AO25" s="1"/>
    </row>
    <row r="26" spans="1:41" s="743" customFormat="1" x14ac:dyDescent="0.3">
      <c r="A26" s="1"/>
      <c r="B26" s="1663"/>
      <c r="C26" s="1"/>
      <c r="D26" s="1122"/>
      <c r="E26" s="1123"/>
      <c r="F26" s="1150" t="s">
        <v>1092</v>
      </c>
      <c r="G26" s="1486">
        <v>0.1227</v>
      </c>
      <c r="H26" s="1487">
        <v>11.34</v>
      </c>
      <c r="I26" s="1487">
        <v>0.18</v>
      </c>
      <c r="J26" s="1487">
        <v>9.39</v>
      </c>
      <c r="K26" s="1487">
        <v>217.92</v>
      </c>
      <c r="L26" s="1151"/>
      <c r="M26" s="1492">
        <v>-0.02</v>
      </c>
      <c r="N26" s="1493">
        <v>-0.02</v>
      </c>
      <c r="O26" s="1494">
        <v>-0.02</v>
      </c>
      <c r="P26" s="915"/>
      <c r="Q26" s="1"/>
      <c r="R26" s="1137" t="s">
        <v>355</v>
      </c>
      <c r="S26" s="1137">
        <v>2.6320000000000001</v>
      </c>
      <c r="T26" s="1"/>
      <c r="U26" s="1138" t="str">
        <f>'Reference Tables'!AG25</f>
        <v>DCW - Natural Gas Engine Driven</v>
      </c>
      <c r="V26" s="1545">
        <f>'Reference Tables'!AH25</f>
        <v>4.931E-2</v>
      </c>
      <c r="W26" s="1"/>
      <c r="X26" s="1"/>
      <c r="Y26" s="335"/>
      <c r="Z26" s="335"/>
      <c r="AA26" s="335"/>
      <c r="AB26" s="335"/>
      <c r="AC26" s="335"/>
      <c r="AD26" s="335"/>
      <c r="AE26" s="335"/>
      <c r="AF26" s="1"/>
      <c r="AG26" s="1"/>
      <c r="AH26" s="1"/>
      <c r="AI26" s="1"/>
      <c r="AJ26" s="1"/>
      <c r="AK26" s="1"/>
      <c r="AL26" s="1"/>
      <c r="AM26" s="1"/>
      <c r="AN26" s="1"/>
      <c r="AO26" s="1"/>
    </row>
    <row r="27" spans="1:41" s="743" customFormat="1" x14ac:dyDescent="0.3">
      <c r="A27" s="1"/>
      <c r="B27" s="1663"/>
      <c r="C27" s="1"/>
      <c r="D27" s="1122"/>
      <c r="E27" s="1123"/>
      <c r="F27" s="1150" t="s">
        <v>1094</v>
      </c>
      <c r="G27" s="1488" t="s">
        <v>345</v>
      </c>
      <c r="H27" s="1489" t="s">
        <v>359</v>
      </c>
      <c r="I27" s="1490" t="s">
        <v>346</v>
      </c>
      <c r="J27" s="1490" t="s">
        <v>347</v>
      </c>
      <c r="K27" s="1491" t="s">
        <v>1114</v>
      </c>
      <c r="L27" s="1152"/>
      <c r="M27" s="1488" t="s">
        <v>345</v>
      </c>
      <c r="N27" s="1490" t="s">
        <v>345</v>
      </c>
      <c r="O27" s="1491" t="s">
        <v>345</v>
      </c>
      <c r="P27" s="915"/>
      <c r="Q27" s="1"/>
      <c r="R27" s="1137" t="s">
        <v>1114</v>
      </c>
      <c r="S27" s="1137">
        <v>17480</v>
      </c>
      <c r="T27" s="1"/>
      <c r="U27" s="1147"/>
      <c r="V27" s="1546"/>
      <c r="W27" s="1"/>
      <c r="X27" s="1"/>
      <c r="Y27" s="335"/>
      <c r="Z27" s="335"/>
      <c r="AA27" s="335"/>
      <c r="AB27" s="335"/>
      <c r="AC27" s="335"/>
      <c r="AD27" s="335"/>
      <c r="AE27" s="335"/>
      <c r="AF27" s="1"/>
      <c r="AG27" s="1"/>
      <c r="AH27" s="1"/>
      <c r="AI27" s="1"/>
      <c r="AJ27" s="1"/>
      <c r="AK27" s="1"/>
      <c r="AL27" s="1"/>
      <c r="AM27" s="1"/>
      <c r="AN27" s="1"/>
      <c r="AO27" s="1"/>
    </row>
    <row r="28" spans="1:41" s="743" customFormat="1" ht="13" x14ac:dyDescent="0.3">
      <c r="A28" s="1"/>
      <c r="B28" s="1663"/>
      <c r="C28" s="1"/>
      <c r="D28" s="1122"/>
      <c r="E28" s="1123"/>
      <c r="F28" s="1150"/>
      <c r="G28" s="1154"/>
      <c r="H28" s="1154"/>
      <c r="I28" s="1154"/>
      <c r="J28" s="1154"/>
      <c r="K28" s="1154"/>
      <c r="L28" s="1155"/>
      <c r="M28" s="1154"/>
      <c r="N28" s="1123"/>
      <c r="O28" s="1154"/>
      <c r="P28" s="1031"/>
      <c r="Q28" s="1"/>
      <c r="R28" s="1137" t="s">
        <v>356</v>
      </c>
      <c r="S28" s="1137">
        <v>12</v>
      </c>
      <c r="T28" s="1"/>
      <c r="U28" s="1147"/>
      <c r="V28" s="1546"/>
      <c r="W28" s="1"/>
      <c r="X28" s="1"/>
      <c r="Y28" s="335"/>
      <c r="Z28" s="1156"/>
      <c r="AA28" s="1156"/>
      <c r="AB28" s="1157"/>
      <c r="AC28" s="1157"/>
      <c r="AD28" s="1156"/>
      <c r="AE28" s="335"/>
      <c r="AF28" s="1"/>
      <c r="AG28" s="1"/>
      <c r="AH28" s="1"/>
      <c r="AI28" s="1"/>
      <c r="AJ28" s="1"/>
      <c r="AK28" s="1"/>
      <c r="AL28" s="1"/>
      <c r="AM28" s="1"/>
      <c r="AN28" s="1"/>
      <c r="AO28" s="1"/>
    </row>
    <row r="29" spans="1:41" s="743" customFormat="1" ht="13" x14ac:dyDescent="0.3">
      <c r="A29" s="1"/>
      <c r="B29" s="1663"/>
      <c r="C29" s="1"/>
      <c r="D29" s="1122"/>
      <c r="E29" s="1123"/>
      <c r="F29" s="1158" t="s">
        <v>229</v>
      </c>
      <c r="G29" s="1154"/>
      <c r="H29" s="1154"/>
      <c r="I29" s="1154"/>
      <c r="J29" s="1154"/>
      <c r="K29" s="1154"/>
      <c r="L29" s="1159"/>
      <c r="M29" s="1160"/>
      <c r="N29" s="1161" t="s">
        <v>1204</v>
      </c>
      <c r="O29" s="1162"/>
      <c r="P29" s="1031"/>
      <c r="Q29" s="1"/>
      <c r="R29" s="1137" t="s">
        <v>272</v>
      </c>
      <c r="S29" s="1137">
        <v>1.026</v>
      </c>
      <c r="T29" s="1"/>
      <c r="U29" s="1120" t="s">
        <v>1176</v>
      </c>
      <c r="V29" s="1547"/>
      <c r="W29" s="1"/>
      <c r="X29" s="1"/>
      <c r="Y29" s="335"/>
      <c r="Z29" s="1156"/>
      <c r="AA29" s="1156"/>
      <c r="AB29" s="1157"/>
      <c r="AC29" s="1157"/>
      <c r="AD29" s="1156"/>
      <c r="AE29" s="335"/>
      <c r="AF29" s="1"/>
      <c r="AG29" s="1"/>
      <c r="AH29" s="1"/>
      <c r="AI29" s="1"/>
      <c r="AJ29" s="1"/>
      <c r="AK29" s="1"/>
      <c r="AL29" s="1"/>
      <c r="AM29" s="1"/>
      <c r="AN29" s="1"/>
      <c r="AO29" s="1"/>
    </row>
    <row r="30" spans="1:41" s="743" customFormat="1" x14ac:dyDescent="0.35">
      <c r="A30" s="1"/>
      <c r="B30" s="1663"/>
      <c r="C30" s="1"/>
      <c r="D30" s="1122"/>
      <c r="E30" s="1123"/>
      <c r="F30" s="1484" t="s">
        <v>230</v>
      </c>
      <c r="G30" s="1495"/>
      <c r="H30" s="1495"/>
      <c r="I30" s="1495"/>
      <c r="J30" s="1495"/>
      <c r="K30" s="1495"/>
      <c r="L30" s="1164"/>
      <c r="M30" s="1495"/>
      <c r="N30" s="1496"/>
      <c r="O30" s="1497"/>
      <c r="P30" s="1165"/>
      <c r="Q30" s="1"/>
      <c r="R30" s="1137" t="s">
        <v>357</v>
      </c>
      <c r="S30" s="1137">
        <v>102.6</v>
      </c>
      <c r="T30" s="1"/>
      <c r="U30" s="1538" t="str">
        <f>HYPERLINK("https://www.ashrae.org/technical-resources/bookstore/ansi-ashrae-standard-228-standard-method-of-evaluating-zero-net-energy-and-zero-net-carbon-building-performance","ASHRAE Standard 228-2023")</f>
        <v>ASHRAE Standard 228-2023</v>
      </c>
      <c r="V30" s="1548"/>
      <c r="W30" s="1"/>
      <c r="X30" s="1"/>
      <c r="Y30" s="335"/>
      <c r="Z30" s="1156"/>
      <c r="AA30" s="1156"/>
      <c r="AB30" s="1157"/>
      <c r="AC30" s="1157"/>
      <c r="AD30" s="1156"/>
      <c r="AE30" s="335"/>
      <c r="AF30" s="1"/>
      <c r="AG30" s="1"/>
      <c r="AH30" s="1"/>
      <c r="AI30" s="1"/>
      <c r="AJ30" s="1"/>
      <c r="AK30" s="1"/>
      <c r="AL30" s="1"/>
      <c r="AM30" s="1"/>
      <c r="AN30" s="1"/>
      <c r="AO30" s="1"/>
    </row>
    <row r="31" spans="1:41" s="743" customFormat="1" ht="13" x14ac:dyDescent="0.3">
      <c r="A31" s="1"/>
      <c r="B31" s="1663"/>
      <c r="C31" s="1"/>
      <c r="D31" s="1122"/>
      <c r="E31" s="1123"/>
      <c r="F31" s="1484" t="s">
        <v>232</v>
      </c>
      <c r="G31" s="1495"/>
      <c r="H31" s="1495"/>
      <c r="I31" s="1495"/>
      <c r="J31" s="1495"/>
      <c r="K31" s="1495"/>
      <c r="L31" s="1164"/>
      <c r="M31" s="1495"/>
      <c r="N31" s="1496"/>
      <c r="O31" s="1497"/>
      <c r="P31" s="475"/>
      <c r="Q31" s="1"/>
      <c r="R31" s="1137" t="s">
        <v>359</v>
      </c>
      <c r="S31" s="1137">
        <v>1026</v>
      </c>
      <c r="T31" s="1"/>
      <c r="U31" s="1147"/>
      <c r="V31" s="1546"/>
      <c r="W31" s="1"/>
      <c r="X31" s="1"/>
      <c r="Y31" s="335"/>
      <c r="Z31" s="1156"/>
      <c r="AA31" s="1156"/>
      <c r="AB31" s="1157"/>
      <c r="AC31" s="1157"/>
      <c r="AD31" s="1156"/>
      <c r="AE31" s="335"/>
      <c r="AF31" s="1"/>
      <c r="AG31" s="1"/>
      <c r="AH31" s="1"/>
      <c r="AI31" s="1"/>
      <c r="AJ31" s="1"/>
      <c r="AK31" s="1"/>
      <c r="AL31" s="1"/>
      <c r="AM31" s="1"/>
      <c r="AN31" s="1"/>
      <c r="AO31" s="1"/>
    </row>
    <row r="32" spans="1:41" s="743" customFormat="1" ht="13" x14ac:dyDescent="0.3">
      <c r="A32" s="1"/>
      <c r="B32" s="1663"/>
      <c r="C32" s="1"/>
      <c r="D32" s="1122"/>
      <c r="E32" s="1123"/>
      <c r="F32" s="1484" t="s">
        <v>234</v>
      </c>
      <c r="G32" s="1495"/>
      <c r="H32" s="1495"/>
      <c r="I32" s="1495"/>
      <c r="J32" s="1495"/>
      <c r="K32" s="1495"/>
      <c r="L32" s="1164"/>
      <c r="M32" s="1495"/>
      <c r="N32" s="1496"/>
      <c r="O32" s="1497"/>
      <c r="P32" s="475"/>
      <c r="Q32" s="1"/>
      <c r="R32" s="1137" t="s">
        <v>360</v>
      </c>
      <c r="S32" s="1137">
        <v>36.302999999999997</v>
      </c>
      <c r="T32" s="1"/>
      <c r="U32" s="1153" t="s">
        <v>1091</v>
      </c>
      <c r="V32" s="1549"/>
      <c r="W32" s="1"/>
      <c r="X32" s="1"/>
      <c r="Y32" s="335"/>
      <c r="Z32" s="1156"/>
      <c r="AA32" s="1156"/>
      <c r="AB32" s="1157"/>
      <c r="AC32" s="1157"/>
      <c r="AD32" s="1156"/>
      <c r="AE32" s="335"/>
      <c r="AF32" s="1"/>
      <c r="AG32" s="1"/>
      <c r="AH32" s="1"/>
      <c r="AI32" s="1"/>
      <c r="AJ32" s="1"/>
      <c r="AK32" s="1"/>
      <c r="AL32" s="1"/>
      <c r="AM32" s="1"/>
      <c r="AN32" s="1"/>
      <c r="AO32" s="1"/>
    </row>
    <row r="33" spans="1:41" s="743" customFormat="1" ht="13" x14ac:dyDescent="0.3">
      <c r="A33" s="1"/>
      <c r="B33" s="1663"/>
      <c r="C33" s="1"/>
      <c r="D33" s="1122"/>
      <c r="E33" s="1123"/>
      <c r="F33" s="1484" t="s">
        <v>236</v>
      </c>
      <c r="G33" s="1495"/>
      <c r="H33" s="1495"/>
      <c r="I33" s="1495"/>
      <c r="J33" s="1495"/>
      <c r="K33" s="1495"/>
      <c r="L33" s="1164"/>
      <c r="M33" s="1495"/>
      <c r="N33" s="1496"/>
      <c r="O33" s="1497"/>
      <c r="P33" s="475"/>
      <c r="Q33" s="1"/>
      <c r="R33" s="1000"/>
      <c r="S33" s="1000"/>
      <c r="T33" s="1"/>
      <c r="U33" s="1120" t="s">
        <v>1089</v>
      </c>
      <c r="V33" s="1120" t="s">
        <v>1087</v>
      </c>
      <c r="W33" s="1"/>
      <c r="X33" s="1"/>
      <c r="Y33" s="335"/>
      <c r="Z33" s="1156"/>
      <c r="AA33" s="1156"/>
      <c r="AB33" s="1157"/>
      <c r="AC33" s="1157"/>
      <c r="AD33" s="1156"/>
      <c r="AE33" s="335"/>
      <c r="AF33" s="1"/>
      <c r="AG33" s="1"/>
      <c r="AH33" s="1"/>
      <c r="AI33" s="1"/>
      <c r="AJ33" s="1"/>
      <c r="AK33" s="1"/>
      <c r="AL33" s="1"/>
      <c r="AM33" s="1"/>
      <c r="AN33" s="1"/>
      <c r="AO33" s="1"/>
    </row>
    <row r="34" spans="1:41" s="743" customFormat="1" ht="13" x14ac:dyDescent="0.3">
      <c r="A34" s="1"/>
      <c r="B34" s="1663"/>
      <c r="C34" s="1"/>
      <c r="D34" s="1122"/>
      <c r="E34" s="1123"/>
      <c r="F34" s="1484" t="s">
        <v>237</v>
      </c>
      <c r="G34" s="1495"/>
      <c r="H34" s="1495"/>
      <c r="I34" s="1495"/>
      <c r="J34" s="1495"/>
      <c r="K34" s="1495"/>
      <c r="L34" s="1164"/>
      <c r="M34" s="1495"/>
      <c r="N34" s="1496"/>
      <c r="O34" s="1497"/>
      <c r="P34" s="1165"/>
      <c r="Q34" s="1"/>
      <c r="R34" s="1000"/>
      <c r="S34" s="1000"/>
      <c r="T34" s="1"/>
      <c r="U34" s="25" t="s">
        <v>1177</v>
      </c>
      <c r="V34" s="1163">
        <v>0.85</v>
      </c>
      <c r="W34" s="1"/>
      <c r="X34" s="1"/>
      <c r="Y34" s="335"/>
      <c r="Z34" s="1156"/>
      <c r="AA34" s="1156"/>
      <c r="AB34" s="1157"/>
      <c r="AC34" s="1157"/>
      <c r="AD34" s="1156"/>
      <c r="AE34" s="335"/>
      <c r="AF34" s="1"/>
      <c r="AG34" s="1"/>
      <c r="AH34" s="1"/>
      <c r="AI34" s="1"/>
      <c r="AJ34" s="1"/>
      <c r="AK34" s="1"/>
      <c r="AL34" s="1"/>
      <c r="AM34" s="1"/>
      <c r="AN34" s="1"/>
      <c r="AO34" s="1"/>
    </row>
    <row r="35" spans="1:41" s="743" customFormat="1" ht="13" x14ac:dyDescent="0.3">
      <c r="A35" s="1"/>
      <c r="B35" s="1663"/>
      <c r="C35" s="1"/>
      <c r="D35" s="1122"/>
      <c r="E35" s="1123"/>
      <c r="F35" s="1484" t="s">
        <v>238</v>
      </c>
      <c r="G35" s="1495"/>
      <c r="H35" s="1495"/>
      <c r="I35" s="1495"/>
      <c r="J35" s="1495"/>
      <c r="K35" s="1495"/>
      <c r="L35" s="1164"/>
      <c r="M35" s="1495"/>
      <c r="N35" s="1496"/>
      <c r="O35" s="1497"/>
      <c r="P35" s="1165"/>
      <c r="Q35" s="1"/>
      <c r="R35" s="1542" t="s">
        <v>1208</v>
      </c>
      <c r="S35" s="1543" t="s">
        <v>1152</v>
      </c>
      <c r="T35" s="1"/>
      <c r="U35" s="25" t="s">
        <v>1178</v>
      </c>
      <c r="V35" s="1163">
        <v>0.8</v>
      </c>
      <c r="W35" s="1"/>
      <c r="X35" s="1"/>
      <c r="Y35" s="335"/>
      <c r="Z35" s="1156"/>
      <c r="AA35" s="1156"/>
      <c r="AB35" s="1157"/>
      <c r="AC35" s="1157"/>
      <c r="AD35" s="1156"/>
      <c r="AE35" s="335"/>
      <c r="AF35" s="1"/>
      <c r="AG35" s="1"/>
      <c r="AH35" s="1"/>
      <c r="AI35" s="1"/>
      <c r="AJ35" s="1"/>
      <c r="AK35" s="1"/>
      <c r="AL35" s="1"/>
      <c r="AM35" s="1"/>
      <c r="AN35" s="1"/>
      <c r="AO35" s="1"/>
    </row>
    <row r="36" spans="1:41" s="743" customFormat="1" ht="13" x14ac:dyDescent="0.3">
      <c r="A36" s="1"/>
      <c r="B36" s="1663"/>
      <c r="C36" s="1"/>
      <c r="D36" s="1122"/>
      <c r="E36" s="1123"/>
      <c r="F36" s="1484" t="s">
        <v>239</v>
      </c>
      <c r="G36" s="1495"/>
      <c r="H36" s="1495"/>
      <c r="I36" s="1495"/>
      <c r="J36" s="1495"/>
      <c r="K36" s="1495"/>
      <c r="L36" s="1164"/>
      <c r="M36" s="1495"/>
      <c r="N36" s="1496"/>
      <c r="O36" s="1497"/>
      <c r="P36" s="1165"/>
      <c r="Q36" s="1"/>
      <c r="R36" s="1000" t="s">
        <v>1209</v>
      </c>
      <c r="S36" s="1544">
        <v>0.12</v>
      </c>
      <c r="T36" s="1"/>
      <c r="U36" s="25" t="s">
        <v>1179</v>
      </c>
      <c r="V36" s="1163">
        <v>0.75</v>
      </c>
      <c r="W36" s="1"/>
      <c r="X36" s="1"/>
      <c r="Y36" s="335"/>
      <c r="Z36" s="1156"/>
      <c r="AA36" s="1156"/>
      <c r="AB36" s="1157"/>
      <c r="AC36" s="1157"/>
      <c r="AD36" s="1156"/>
      <c r="AE36" s="335"/>
      <c r="AF36" s="1"/>
      <c r="AG36" s="1"/>
      <c r="AH36" s="1"/>
      <c r="AI36" s="1"/>
      <c r="AJ36" s="1"/>
      <c r="AK36" s="1"/>
      <c r="AL36" s="1"/>
      <c r="AM36" s="1"/>
      <c r="AN36" s="1"/>
      <c r="AO36" s="1"/>
    </row>
    <row r="37" spans="1:41" s="743" customFormat="1" ht="13" x14ac:dyDescent="0.3">
      <c r="A37" s="1"/>
      <c r="B37" s="1663"/>
      <c r="C37" s="1"/>
      <c r="D37" s="1122"/>
      <c r="E37" s="1123"/>
      <c r="F37" s="1484" t="s">
        <v>240</v>
      </c>
      <c r="G37" s="1495"/>
      <c r="H37" s="1495"/>
      <c r="I37" s="1495"/>
      <c r="J37" s="1495"/>
      <c r="K37" s="1495"/>
      <c r="L37" s="1164"/>
      <c r="M37" s="1495"/>
      <c r="N37" s="1496"/>
      <c r="O37" s="1497"/>
      <c r="P37" s="1165"/>
      <c r="Q37" s="1"/>
      <c r="R37" s="1000" t="s">
        <v>1210</v>
      </c>
      <c r="S37" s="1544">
        <v>11.34</v>
      </c>
      <c r="T37" s="1"/>
      <c r="U37" s="25" t="s">
        <v>1180</v>
      </c>
      <c r="V37" s="1163">
        <v>0.75</v>
      </c>
      <c r="W37" s="1"/>
      <c r="X37" s="1"/>
      <c r="Y37" s="335"/>
      <c r="Z37" s="1156"/>
      <c r="AA37" s="1156"/>
      <c r="AB37" s="1157"/>
      <c r="AC37" s="1157"/>
      <c r="AD37" s="1156"/>
      <c r="AE37" s="335"/>
      <c r="AF37" s="1"/>
      <c r="AG37" s="1"/>
      <c r="AH37" s="1"/>
      <c r="AI37" s="1"/>
      <c r="AJ37" s="1"/>
      <c r="AK37" s="1"/>
      <c r="AL37" s="1"/>
      <c r="AM37" s="1"/>
      <c r="AN37" s="1"/>
      <c r="AO37" s="1"/>
    </row>
    <row r="38" spans="1:41" s="743" customFormat="1" ht="13" x14ac:dyDescent="0.3">
      <c r="A38" s="1"/>
      <c r="B38" s="1663"/>
      <c r="C38" s="1"/>
      <c r="D38" s="1122"/>
      <c r="E38" s="1123"/>
      <c r="F38" s="1484" t="s">
        <v>241</v>
      </c>
      <c r="G38" s="1495"/>
      <c r="H38" s="1495"/>
      <c r="I38" s="1495"/>
      <c r="J38" s="1495"/>
      <c r="K38" s="1495"/>
      <c r="L38" s="1164"/>
      <c r="M38" s="1495"/>
      <c r="N38" s="1496"/>
      <c r="O38" s="1497"/>
      <c r="P38" s="1165"/>
      <c r="Q38" s="1"/>
      <c r="R38" s="1000" t="s">
        <v>1211</v>
      </c>
      <c r="S38" s="1544">
        <v>0.18</v>
      </c>
      <c r="T38" s="1"/>
      <c r="U38" s="25"/>
      <c r="V38" s="1163"/>
      <c r="W38" s="1"/>
      <c r="X38" s="1"/>
      <c r="Y38" s="335"/>
      <c r="Z38" s="1156"/>
      <c r="AA38" s="1156"/>
      <c r="AB38" s="1157"/>
      <c r="AC38" s="1157"/>
      <c r="AD38" s="1156"/>
      <c r="AE38" s="335"/>
      <c r="AF38" s="1"/>
      <c r="AG38" s="1"/>
      <c r="AH38" s="1"/>
      <c r="AI38" s="1"/>
      <c r="AJ38" s="1"/>
      <c r="AK38" s="1"/>
      <c r="AL38" s="1"/>
      <c r="AM38" s="1"/>
      <c r="AN38" s="1"/>
      <c r="AO38" s="1"/>
    </row>
    <row r="39" spans="1:41" s="743" customFormat="1" ht="13.75" customHeight="1" x14ac:dyDescent="0.3">
      <c r="A39" s="1"/>
      <c r="B39" s="1663"/>
      <c r="C39" s="1"/>
      <c r="D39" s="1122"/>
      <c r="E39" s="1123"/>
      <c r="F39" s="1484" t="s">
        <v>242</v>
      </c>
      <c r="G39" s="1495"/>
      <c r="H39" s="1495"/>
      <c r="I39" s="1495"/>
      <c r="J39" s="1495"/>
      <c r="K39" s="1495"/>
      <c r="L39" s="1164"/>
      <c r="M39" s="1495"/>
      <c r="N39" s="1496"/>
      <c r="O39" s="1497"/>
      <c r="P39" s="1165"/>
      <c r="Q39" s="1"/>
      <c r="R39" s="1000" t="s">
        <v>1212</v>
      </c>
      <c r="S39" s="1544">
        <v>9.39</v>
      </c>
      <c r="T39" s="1"/>
      <c r="U39" s="1775" t="s">
        <v>1250</v>
      </c>
      <c r="V39" s="1775"/>
      <c r="W39" s="1"/>
      <c r="X39" s="1"/>
      <c r="Y39" s="335"/>
      <c r="Z39" s="1156"/>
      <c r="AA39" s="1156"/>
      <c r="AB39" s="1157"/>
      <c r="AC39" s="1157"/>
      <c r="AD39" s="1156"/>
      <c r="AE39" s="335"/>
      <c r="AF39" s="1"/>
      <c r="AG39" s="1"/>
      <c r="AH39" s="1"/>
      <c r="AI39" s="1"/>
      <c r="AJ39" s="1"/>
      <c r="AK39" s="1"/>
      <c r="AL39" s="1"/>
      <c r="AM39" s="1"/>
      <c r="AN39" s="1"/>
      <c r="AO39" s="1"/>
    </row>
    <row r="40" spans="1:41" s="743" customFormat="1" ht="13" x14ac:dyDescent="0.3">
      <c r="A40" s="1"/>
      <c r="B40" s="1663"/>
      <c r="C40" s="1"/>
      <c r="D40" s="1122"/>
      <c r="E40" s="1123"/>
      <c r="F40" s="1484" t="s">
        <v>243</v>
      </c>
      <c r="G40" s="1495"/>
      <c r="H40" s="1495"/>
      <c r="I40" s="1495"/>
      <c r="J40" s="1495"/>
      <c r="K40" s="1495"/>
      <c r="L40" s="1164"/>
      <c r="M40" s="1495"/>
      <c r="N40" s="1496"/>
      <c r="O40" s="1497"/>
      <c r="P40" s="1165"/>
      <c r="Q40" s="1"/>
      <c r="R40" s="1000" t="s">
        <v>1213</v>
      </c>
      <c r="S40" s="1544">
        <v>217.92</v>
      </c>
      <c r="T40" s="1"/>
      <c r="U40" s="1775"/>
      <c r="V40" s="1775"/>
      <c r="W40" s="1"/>
      <c r="X40" s="1"/>
      <c r="Y40" s="335"/>
      <c r="Z40" s="1156"/>
      <c r="AA40" s="1156"/>
      <c r="AB40" s="1157"/>
      <c r="AC40" s="1157"/>
      <c r="AD40" s="1156"/>
      <c r="AE40" s="335"/>
      <c r="AF40" s="1"/>
      <c r="AG40" s="1"/>
      <c r="AH40" s="1"/>
      <c r="AI40" s="1"/>
      <c r="AJ40" s="1"/>
      <c r="AK40" s="1"/>
      <c r="AL40" s="1"/>
      <c r="AM40" s="1"/>
      <c r="AN40" s="1"/>
      <c r="AO40" s="1"/>
    </row>
    <row r="41" spans="1:41" s="743" customFormat="1" ht="13" x14ac:dyDescent="0.3">
      <c r="A41" s="1"/>
      <c r="B41" s="1663"/>
      <c r="C41" s="1"/>
      <c r="D41" s="1122"/>
      <c r="E41" s="1123"/>
      <c r="F41" s="1484" t="s">
        <v>244</v>
      </c>
      <c r="G41" s="1495"/>
      <c r="H41" s="1495"/>
      <c r="I41" s="1495"/>
      <c r="J41" s="1495"/>
      <c r="K41" s="1495"/>
      <c r="L41" s="1164"/>
      <c r="M41" s="1495"/>
      <c r="N41" s="1496"/>
      <c r="O41" s="1497"/>
      <c r="P41" s="1165"/>
      <c r="Q41" s="1"/>
      <c r="R41" s="1000" t="s">
        <v>1214</v>
      </c>
      <c r="S41" s="1544">
        <v>-0.02</v>
      </c>
      <c r="T41" s="1"/>
      <c r="U41" s="1775"/>
      <c r="V41" s="1775"/>
      <c r="W41" s="1"/>
      <c r="X41" s="1"/>
      <c r="Y41" s="335"/>
      <c r="Z41" s="335"/>
      <c r="AA41" s="335"/>
      <c r="AB41" s="335"/>
      <c r="AC41" s="335"/>
      <c r="AD41" s="335"/>
      <c r="AE41" s="335"/>
      <c r="AF41" s="1"/>
      <c r="AG41" s="1"/>
      <c r="AH41" s="1"/>
      <c r="AI41" s="1"/>
      <c r="AJ41" s="1"/>
      <c r="AK41" s="1"/>
      <c r="AL41" s="1"/>
      <c r="AM41" s="1"/>
      <c r="AN41" s="1"/>
      <c r="AO41" s="1"/>
    </row>
    <row r="42" spans="1:41" s="743" customFormat="1" ht="13" x14ac:dyDescent="0.3">
      <c r="A42" s="1"/>
      <c r="B42" s="1663"/>
      <c r="C42" s="1"/>
      <c r="D42" s="1122"/>
      <c r="E42" s="1166"/>
      <c r="F42" s="1167"/>
      <c r="G42" s="1164"/>
      <c r="H42" s="1164"/>
      <c r="I42" s="1164"/>
      <c r="J42" s="1164"/>
      <c r="K42" s="1164"/>
      <c r="L42" s="1164"/>
      <c r="M42" s="1164"/>
      <c r="N42" s="1168"/>
      <c r="O42" s="1164"/>
      <c r="P42" s="1165"/>
      <c r="Q42" s="1"/>
      <c r="R42" s="1000"/>
      <c r="S42" s="1000"/>
      <c r="T42" s="1"/>
      <c r="U42" s="1775"/>
      <c r="V42" s="1775"/>
      <c r="W42" s="1"/>
      <c r="X42" s="1"/>
      <c r="Y42" s="335"/>
      <c r="Z42" s="335"/>
      <c r="AA42" s="335"/>
      <c r="AB42" s="335"/>
      <c r="AC42" s="335"/>
      <c r="AD42" s="335"/>
      <c r="AE42" s="335"/>
      <c r="AF42" s="1"/>
      <c r="AG42" s="1"/>
      <c r="AH42" s="1"/>
      <c r="AI42" s="1"/>
      <c r="AJ42" s="1"/>
      <c r="AK42" s="1"/>
      <c r="AL42" s="1"/>
      <c r="AM42" s="1"/>
      <c r="AN42" s="1"/>
      <c r="AO42" s="1"/>
    </row>
    <row r="43" spans="1:41" s="743" customFormat="1" ht="13.75" customHeight="1" x14ac:dyDescent="0.3">
      <c r="A43" s="1"/>
      <c r="B43" s="1663"/>
      <c r="C43" s="1"/>
      <c r="D43" s="1169"/>
      <c r="E43" s="1166"/>
      <c r="F43" s="1140" t="s">
        <v>771</v>
      </c>
      <c r="G43" s="1170">
        <f t="shared" ref="G43" si="0">SUM(G30:G41)</f>
        <v>0</v>
      </c>
      <c r="H43" s="1170">
        <f>SUM(H30:H41)</f>
        <v>0</v>
      </c>
      <c r="I43" s="1170">
        <f>SUM(I30:I41)</f>
        <v>0</v>
      </c>
      <c r="J43" s="1170">
        <f>SUM(J30:J41)</f>
        <v>0</v>
      </c>
      <c r="K43" s="1170">
        <f>SUM(K30:K41)</f>
        <v>0</v>
      </c>
      <c r="L43" s="1171"/>
      <c r="M43" s="1170">
        <f t="shared" ref="M43" si="1">SUM(M30:M41)</f>
        <v>0</v>
      </c>
      <c r="N43" s="1170">
        <f>SUM(N30:N41)</f>
        <v>0</v>
      </c>
      <c r="O43" s="1170">
        <f>IF(J20=0,0,VLOOKUP(J20,Off_Site_Procurement_Factor_Table, 2, FALSE)*SUM(O30:O41))</f>
        <v>0</v>
      </c>
      <c r="P43" s="1165"/>
      <c r="Q43" s="1"/>
      <c r="R43" s="1000"/>
      <c r="S43" s="1000"/>
      <c r="T43" s="1"/>
      <c r="U43" s="1000"/>
      <c r="V43" s="1163"/>
      <c r="W43" s="1"/>
      <c r="X43" s="1"/>
      <c r="Y43" s="335"/>
      <c r="Z43" s="335"/>
      <c r="AA43" s="335"/>
      <c r="AB43" s="335"/>
      <c r="AC43" s="335"/>
      <c r="AD43" s="335"/>
      <c r="AE43" s="335"/>
      <c r="AF43" s="1"/>
      <c r="AG43" s="1"/>
      <c r="AH43" s="1"/>
      <c r="AI43" s="1"/>
      <c r="AJ43" s="1"/>
      <c r="AK43" s="1"/>
      <c r="AL43" s="1"/>
      <c r="AM43" s="1"/>
      <c r="AN43" s="1"/>
      <c r="AO43" s="1"/>
    </row>
    <row r="44" spans="1:41" s="743" customFormat="1" ht="13" x14ac:dyDescent="0.3">
      <c r="A44" s="1"/>
      <c r="B44" s="1663"/>
      <c r="C44" s="1"/>
      <c r="D44" s="759"/>
      <c r="E44" s="839"/>
      <c r="F44" s="1172" t="s">
        <v>358</v>
      </c>
      <c r="G44" s="1173">
        <f>IFERROR(VLOOKUP(27:27,Conversion_to_kBtu_Table, 2, FALSE),"")</f>
        <v>3.41214</v>
      </c>
      <c r="H44" s="1173">
        <f>IFERROR(VLOOKUP(27:27,Conversion_to_kBtu_Table, 2, FALSE),"")</f>
        <v>1026</v>
      </c>
      <c r="I44" s="1173">
        <f>IFERROR(VLOOKUP(27:27,Conversion_to_kBtu_Table, 2, FALSE),"")</f>
        <v>1000</v>
      </c>
      <c r="J44" s="1173">
        <f>IFERROR(VLOOKUP(27:27,Conversion_to_kBtu_Table, 2, FALSE),"")</f>
        <v>1194</v>
      </c>
      <c r="K44" s="1173">
        <f>IFERROR(VLOOKUP(27:27,Conversion_to_kBtu_Table, 2, FALSE),"")</f>
        <v>17480</v>
      </c>
      <c r="L44" s="1171"/>
      <c r="M44" s="1173">
        <f>IFERROR(VLOOKUP(27:27,Conversion_to_kBtu_Table, 2, FALSE),"")</f>
        <v>3.41214</v>
      </c>
      <c r="N44" s="1173">
        <f>IFERROR(VLOOKUP(27:27,Conversion_to_kBtu_Table, 2, FALSE),"")</f>
        <v>3.41214</v>
      </c>
      <c r="O44" s="1173">
        <f>IFERROR(VLOOKUP(27:27,Conversion_to_kBtu_Table, 2, FALSE),"")</f>
        <v>3.41214</v>
      </c>
      <c r="P44" s="1165"/>
      <c r="Q44" s="1"/>
      <c r="R44" s="1000"/>
      <c r="S44" s="1000"/>
      <c r="T44" s="1"/>
      <c r="U44" s="1000"/>
      <c r="V44" s="1163"/>
      <c r="W44" s="1"/>
      <c r="X44" s="1"/>
      <c r="Y44" s="335"/>
      <c r="Z44" s="335"/>
      <c r="AA44" s="335"/>
      <c r="AB44" s="335"/>
      <c r="AC44" s="335"/>
      <c r="AD44" s="335"/>
      <c r="AE44" s="335"/>
      <c r="AF44" s="1"/>
      <c r="AG44" s="1"/>
      <c r="AH44" s="1"/>
      <c r="AI44" s="1"/>
      <c r="AJ44" s="1"/>
      <c r="AK44" s="1"/>
      <c r="AL44" s="1"/>
      <c r="AM44" s="1"/>
      <c r="AN44" s="1"/>
      <c r="AO44" s="1"/>
    </row>
    <row r="45" spans="1:41" s="743" customFormat="1" ht="13.75" customHeight="1" x14ac:dyDescent="0.3">
      <c r="A45" s="1"/>
      <c r="B45" s="1663"/>
      <c r="C45" s="1"/>
      <c r="D45" s="759"/>
      <c r="E45" s="850"/>
      <c r="F45" s="1174" t="s">
        <v>1038</v>
      </c>
      <c r="G45" s="1175">
        <f>G43*G44</f>
        <v>0</v>
      </c>
      <c r="H45" s="1175">
        <f t="shared" ref="H45:K45" si="2">H43*H44</f>
        <v>0</v>
      </c>
      <c r="I45" s="1175">
        <f t="shared" si="2"/>
        <v>0</v>
      </c>
      <c r="J45" s="1175">
        <f t="shared" si="2"/>
        <v>0</v>
      </c>
      <c r="K45" s="1175">
        <f t="shared" si="2"/>
        <v>0</v>
      </c>
      <c r="L45" s="1525"/>
      <c r="M45" s="1175">
        <f t="shared" ref="M45:N45" si="3">M43*M44</f>
        <v>0</v>
      </c>
      <c r="N45" s="1175">
        <f t="shared" si="3"/>
        <v>0</v>
      </c>
      <c r="O45" s="1175">
        <f>O43*O44</f>
        <v>0</v>
      </c>
      <c r="P45" s="1165"/>
      <c r="Q45" s="1"/>
      <c r="R45" s="1749"/>
      <c r="S45" s="1749"/>
      <c r="T45" s="1"/>
      <c r="U45" s="1000"/>
      <c r="V45" s="1163"/>
      <c r="W45" s="1"/>
      <c r="X45" s="1"/>
      <c r="Y45" s="1"/>
      <c r="Z45" s="1"/>
      <c r="AA45" s="1"/>
      <c r="AB45" s="1"/>
      <c r="AC45" s="1"/>
      <c r="AD45" s="1"/>
      <c r="AE45" s="1"/>
      <c r="AF45" s="1"/>
      <c r="AG45" s="1"/>
      <c r="AH45" s="1"/>
      <c r="AI45" s="1"/>
      <c r="AJ45" s="1"/>
      <c r="AK45" s="1"/>
      <c r="AL45" s="1"/>
      <c r="AM45" s="1"/>
      <c r="AN45" s="1"/>
      <c r="AO45" s="1"/>
    </row>
    <row r="46" spans="1:41" s="743" customFormat="1" ht="13" x14ac:dyDescent="0.3">
      <c r="A46" s="1"/>
      <c r="B46" s="753"/>
      <c r="C46" s="1"/>
      <c r="D46" s="759"/>
      <c r="E46" s="850"/>
      <c r="F46" s="1176"/>
      <c r="G46" s="1175"/>
      <c r="H46" s="1175"/>
      <c r="I46" s="1175"/>
      <c r="J46" s="1175"/>
      <c r="K46" s="1175"/>
      <c r="L46" s="1171"/>
      <c r="M46" s="1175"/>
      <c r="N46" s="1175"/>
      <c r="O46" s="1175"/>
      <c r="P46" s="1165"/>
      <c r="Q46" s="1"/>
      <c r="R46" s="1749"/>
      <c r="S46" s="1749"/>
      <c r="T46" s="1"/>
      <c r="U46" s="1000"/>
      <c r="V46" s="1163"/>
      <c r="W46" s="1"/>
      <c r="X46" s="1"/>
      <c r="Y46" s="1"/>
      <c r="Z46" s="1"/>
      <c r="AA46" s="1"/>
      <c r="AB46" s="1"/>
      <c r="AC46" s="1"/>
      <c r="AD46" s="1"/>
      <c r="AE46" s="1"/>
      <c r="AF46" s="1"/>
      <c r="AG46" s="1"/>
      <c r="AH46" s="1"/>
      <c r="AI46" s="1"/>
      <c r="AJ46" s="1"/>
      <c r="AK46" s="1"/>
      <c r="AL46" s="1"/>
      <c r="AM46" s="1"/>
      <c r="AN46" s="1"/>
      <c r="AO46" s="1"/>
    </row>
    <row r="47" spans="1:41" s="743" customFormat="1" ht="13" x14ac:dyDescent="0.3">
      <c r="A47" s="1"/>
      <c r="B47" s="1622" t="s">
        <v>1215</v>
      </c>
      <c r="C47" s="1"/>
      <c r="D47" s="759"/>
      <c r="E47" s="839"/>
      <c r="F47" s="1118" t="s">
        <v>769</v>
      </c>
      <c r="G47" s="1177">
        <f>IFERROR(VLOOKUP(G24,Fuel_Source_Carbon_Table,2,FALSE),0)</f>
        <v>0.11330763094921563</v>
      </c>
      <c r="H47" s="1177">
        <f>IFERROR(VLOOKUP(H24,Fuel_Source_Carbon_Table,2,FALSE),0)</f>
        <v>5.3109999999999997E-2</v>
      </c>
      <c r="I47" s="1177">
        <f>IFERROR(VLOOKUP(I24,Fuel_Source_Carbon_Table,2,FALSE),0)</f>
        <v>4.931E-2</v>
      </c>
      <c r="J47" s="1177">
        <f>IFERROR(VLOOKUP(J24,Fuel_Source_Carbon_Table,2,FALSE),0)</f>
        <v>6.6400000000000001E-2</v>
      </c>
      <c r="K47" s="1177">
        <f>IFERROR(VLOOKUP(K24,Fuel_Source_Carbon_Table,2,FALSE),0)</f>
        <v>7.4209999999999998E-2</v>
      </c>
      <c r="L47" s="1178"/>
      <c r="M47" s="1177">
        <f>-1*Carbon_per_kBtu_Electricity</f>
        <v>-0.11330763094921563</v>
      </c>
      <c r="N47" s="1177">
        <f>-1*Carbon_per_kBtu_Electricity</f>
        <v>-0.11330763094921563</v>
      </c>
      <c r="O47" s="1177">
        <f>-1*Carbon_per_kBtu_Electricity</f>
        <v>-0.11330763094921563</v>
      </c>
      <c r="P47" s="1165"/>
      <c r="Q47" s="1"/>
      <c r="R47" s="1749"/>
      <c r="S47" s="1749"/>
      <c r="T47" s="1"/>
      <c r="U47" s="1127"/>
      <c r="V47" s="1088"/>
      <c r="W47" s="1"/>
      <c r="X47" s="1"/>
      <c r="Y47" s="1"/>
      <c r="Z47" s="1"/>
      <c r="AA47" s="1"/>
      <c r="AB47" s="1"/>
      <c r="AC47" s="1"/>
      <c r="AD47" s="1"/>
      <c r="AE47" s="1"/>
      <c r="AF47" s="1"/>
      <c r="AG47" s="1"/>
      <c r="AH47" s="1"/>
      <c r="AI47" s="1"/>
      <c r="AJ47" s="1"/>
      <c r="AK47" s="1"/>
      <c r="AL47" s="1"/>
      <c r="AM47" s="1"/>
      <c r="AN47" s="1"/>
      <c r="AO47" s="1"/>
    </row>
    <row r="48" spans="1:41" s="743" customFormat="1" ht="15" x14ac:dyDescent="0.3">
      <c r="A48" s="1"/>
      <c r="B48" s="1622"/>
      <c r="C48" s="1"/>
      <c r="D48" s="759"/>
      <c r="E48" s="850"/>
      <c r="F48" s="816" t="s">
        <v>1085</v>
      </c>
      <c r="G48" s="972">
        <f>45:45*47:47</f>
        <v>0</v>
      </c>
      <c r="H48" s="972">
        <f t="shared" ref="H48:K48" si="4">45:45*47:47</f>
        <v>0</v>
      </c>
      <c r="I48" s="972">
        <f t="shared" si="4"/>
        <v>0</v>
      </c>
      <c r="J48" s="972">
        <f t="shared" si="4"/>
        <v>0</v>
      </c>
      <c r="K48" s="972">
        <f t="shared" si="4"/>
        <v>0</v>
      </c>
      <c r="L48" s="972"/>
      <c r="M48" s="972">
        <f>45:45*47:47</f>
        <v>0</v>
      </c>
      <c r="N48" s="972">
        <f>45:45*47:47</f>
        <v>0</v>
      </c>
      <c r="O48" s="972">
        <f>45:45*47:47</f>
        <v>0</v>
      </c>
      <c r="P48" s="1165"/>
      <c r="Q48" s="1"/>
      <c r="R48" s="1749"/>
      <c r="S48" s="1749"/>
      <c r="T48" s="1"/>
      <c r="U48" s="1127"/>
      <c r="V48" s="1088"/>
      <c r="W48" s="1"/>
      <c r="X48" s="1"/>
      <c r="Y48" s="1"/>
      <c r="Z48" s="1"/>
      <c r="AA48" s="1"/>
      <c r="AB48" s="1"/>
      <c r="AC48" s="1"/>
      <c r="AD48" s="1"/>
      <c r="AE48" s="1"/>
      <c r="AF48" s="1"/>
      <c r="AG48" s="1"/>
      <c r="AH48" s="1"/>
      <c r="AI48" s="1"/>
      <c r="AJ48" s="1"/>
      <c r="AK48" s="1"/>
      <c r="AL48" s="1"/>
      <c r="AM48" s="1"/>
      <c r="AN48" s="1"/>
      <c r="AO48" s="1"/>
    </row>
    <row r="49" spans="1:41" s="743" customFormat="1" ht="13" x14ac:dyDescent="0.3">
      <c r="A49" s="1"/>
      <c r="B49" s="1622"/>
      <c r="C49" s="1"/>
      <c r="D49" s="759"/>
      <c r="E49" s="850"/>
      <c r="F49" s="816"/>
      <c r="G49" s="972"/>
      <c r="H49" s="972"/>
      <c r="I49" s="972"/>
      <c r="J49" s="972"/>
      <c r="K49" s="972"/>
      <c r="L49" s="972"/>
      <c r="M49" s="972"/>
      <c r="N49" s="972"/>
      <c r="O49" s="972"/>
      <c r="P49" s="1165"/>
      <c r="Q49" s="1"/>
      <c r="R49" s="1749"/>
      <c r="S49" s="1749"/>
      <c r="T49" s="1"/>
      <c r="U49" s="1127"/>
      <c r="V49" s="1088"/>
      <c r="W49" s="1"/>
      <c r="X49" s="1"/>
      <c r="Y49" s="1"/>
      <c r="Z49" s="1"/>
      <c r="AA49" s="1"/>
      <c r="AB49" s="1"/>
      <c r="AC49" s="1"/>
      <c r="AD49" s="1"/>
      <c r="AE49" s="1"/>
      <c r="AF49" s="1"/>
      <c r="AG49" s="1"/>
      <c r="AH49" s="1"/>
      <c r="AI49" s="1"/>
      <c r="AJ49" s="1"/>
      <c r="AK49" s="1"/>
      <c r="AL49" s="1"/>
      <c r="AM49" s="1"/>
      <c r="AN49" s="1"/>
      <c r="AO49" s="1"/>
    </row>
    <row r="50" spans="1:41" s="743" customFormat="1" ht="13" x14ac:dyDescent="0.3">
      <c r="A50" s="1"/>
      <c r="B50" s="1622"/>
      <c r="C50" s="1"/>
      <c r="D50" s="759"/>
      <c r="E50" s="850"/>
      <c r="F50" s="344" t="s">
        <v>1113</v>
      </c>
      <c r="G50" s="1179">
        <f>26:26*43:43</f>
        <v>0</v>
      </c>
      <c r="H50" s="1179">
        <f>26:26*43:43</f>
        <v>0</v>
      </c>
      <c r="I50" s="1179">
        <f>26:26*43:43</f>
        <v>0</v>
      </c>
      <c r="J50" s="1179">
        <f>26:26*43:43</f>
        <v>0</v>
      </c>
      <c r="K50" s="1179">
        <f>26:26*43:43</f>
        <v>0</v>
      </c>
      <c r="L50" s="1179"/>
      <c r="M50" s="1179">
        <f>26:26*43:43</f>
        <v>0</v>
      </c>
      <c r="N50" s="1179">
        <f>26:26*43:43</f>
        <v>0</v>
      </c>
      <c r="O50" s="1179">
        <f>26:26*43:43</f>
        <v>0</v>
      </c>
      <c r="P50" s="1165"/>
      <c r="Q50" s="1"/>
      <c r="R50" s="1000"/>
      <c r="S50" s="1000"/>
      <c r="T50" s="1"/>
      <c r="U50" s="1127"/>
      <c r="V50" s="1088"/>
      <c r="W50" s="1"/>
      <c r="X50" s="1"/>
      <c r="Y50" s="1"/>
      <c r="Z50" s="1"/>
      <c r="AA50" s="1"/>
      <c r="AB50" s="1"/>
      <c r="AC50" s="1"/>
      <c r="AD50" s="1"/>
      <c r="AE50" s="1"/>
      <c r="AF50" s="1"/>
      <c r="AG50" s="1"/>
      <c r="AH50" s="1"/>
      <c r="AI50" s="1"/>
      <c r="AJ50" s="1"/>
      <c r="AK50" s="1"/>
      <c r="AL50" s="1"/>
      <c r="AM50" s="1"/>
      <c r="AN50" s="1"/>
      <c r="AO50" s="1"/>
    </row>
    <row r="51" spans="1:41" s="743" customFormat="1" ht="13" x14ac:dyDescent="0.3">
      <c r="A51" s="1"/>
      <c r="B51" s="1622"/>
      <c r="C51" s="1"/>
      <c r="D51" s="1180"/>
      <c r="E51" s="839"/>
      <c r="F51" s="1181"/>
      <c r="G51" s="1182"/>
      <c r="H51" s="1182"/>
      <c r="I51" s="1182"/>
      <c r="J51" s="1182"/>
      <c r="K51" s="1182"/>
      <c r="L51" s="1182"/>
      <c r="M51" s="1182"/>
      <c r="N51" s="1182"/>
      <c r="O51" s="1182"/>
      <c r="P51" s="1183"/>
      <c r="Q51" s="1"/>
      <c r="R51" s="1000"/>
      <c r="S51" s="1000"/>
      <c r="T51" s="1"/>
      <c r="U51" s="1184"/>
      <c r="V51" s="1184"/>
      <c r="W51" s="1"/>
      <c r="X51" s="1"/>
      <c r="Y51" s="1"/>
      <c r="Z51" s="1"/>
      <c r="AA51" s="1"/>
      <c r="AB51" s="1"/>
      <c r="AC51" s="1"/>
      <c r="AD51" s="1"/>
      <c r="AE51" s="1"/>
      <c r="AF51" s="1"/>
      <c r="AG51" s="1"/>
      <c r="AH51" s="1"/>
      <c r="AI51" s="1"/>
      <c r="AJ51" s="1"/>
      <c r="AK51" s="1"/>
      <c r="AL51" s="1"/>
      <c r="AM51" s="1"/>
      <c r="AN51" s="1"/>
      <c r="AO51" s="1"/>
    </row>
    <row r="52" spans="1:41" s="743" customFormat="1" ht="13" x14ac:dyDescent="0.3">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row>
    <row r="53" spans="1:41" s="743" customFormat="1" ht="13.75" customHeight="1" x14ac:dyDescent="0.3">
      <c r="A53" s="1"/>
      <c r="B53" s="1622" t="s">
        <v>1240</v>
      </c>
      <c r="C53" s="1"/>
      <c r="D53" s="1656" t="s">
        <v>1084</v>
      </c>
      <c r="E53" s="1657"/>
      <c r="F53" s="1657"/>
      <c r="G53" s="1657"/>
      <c r="H53" s="1657"/>
      <c r="I53" s="1657"/>
      <c r="J53" s="1657"/>
      <c r="K53" s="1657"/>
      <c r="L53" s="1657"/>
      <c r="M53" s="1657"/>
      <c r="N53" s="1657"/>
      <c r="O53" s="1657"/>
      <c r="P53" s="1658"/>
      <c r="Q53" s="1"/>
      <c r="R53" s="1000"/>
      <c r="S53" s="1000"/>
      <c r="T53" s="1"/>
      <c r="U53" s="1138"/>
      <c r="V53" s="1184"/>
      <c r="W53" s="1"/>
      <c r="X53" s="1"/>
      <c r="Y53" s="1"/>
      <c r="Z53" s="1"/>
      <c r="AA53" s="1"/>
      <c r="AB53" s="1"/>
      <c r="AC53" s="1"/>
      <c r="AD53" s="1"/>
      <c r="AE53" s="1"/>
      <c r="AF53" s="1"/>
      <c r="AG53" s="1"/>
      <c r="AH53" s="1"/>
      <c r="AI53" s="1"/>
      <c r="AJ53" s="1"/>
      <c r="AK53" s="1"/>
      <c r="AL53" s="1"/>
      <c r="AM53" s="1"/>
      <c r="AN53" s="1"/>
      <c r="AO53" s="1"/>
    </row>
    <row r="54" spans="1:41" s="743" customFormat="1" ht="13" x14ac:dyDescent="0.3">
      <c r="A54" s="1"/>
      <c r="B54" s="1622"/>
      <c r="C54" s="1"/>
      <c r="D54" s="1185"/>
      <c r="E54" s="1186"/>
      <c r="F54" s="879"/>
      <c r="G54" s="1187"/>
      <c r="H54" s="1188"/>
      <c r="I54" s="1188"/>
      <c r="J54" s="1188"/>
      <c r="K54" s="1188"/>
      <c r="L54" s="1188"/>
      <c r="M54" s="1188"/>
      <c r="N54" s="1188"/>
      <c r="O54" s="1188"/>
      <c r="P54" s="1189"/>
      <c r="Q54" s="1"/>
      <c r="R54" s="1000"/>
      <c r="S54" s="1000"/>
      <c r="T54" s="1"/>
      <c r="U54" s="1088"/>
      <c r="V54" s="1088"/>
      <c r="W54" s="1"/>
      <c r="X54" s="1"/>
      <c r="Y54" s="1"/>
      <c r="Z54" s="1"/>
      <c r="AA54" s="1"/>
      <c r="AB54" s="1"/>
      <c r="AC54" s="1"/>
      <c r="AD54" s="1"/>
      <c r="AE54" s="1"/>
      <c r="AF54" s="1"/>
      <c r="AG54" s="1"/>
      <c r="AH54" s="1"/>
      <c r="AI54" s="1"/>
      <c r="AJ54" s="1"/>
      <c r="AK54" s="1"/>
      <c r="AL54" s="1"/>
      <c r="AM54" s="1"/>
      <c r="AN54" s="1"/>
      <c r="AO54" s="1"/>
    </row>
    <row r="55" spans="1:41" s="743" customFormat="1" ht="13" x14ac:dyDescent="0.3">
      <c r="A55" s="1"/>
      <c r="B55" s="1622"/>
      <c r="C55" s="1"/>
      <c r="D55" s="1185"/>
      <c r="E55" s="1190" t="s">
        <v>772</v>
      </c>
      <c r="F55" s="1191"/>
      <c r="G55" s="1187"/>
      <c r="H55" s="1187"/>
      <c r="I55" s="1187"/>
      <c r="J55" s="1187"/>
      <c r="K55" s="1187"/>
      <c r="L55" s="1187"/>
      <c r="M55" s="1187"/>
      <c r="N55" s="1187"/>
      <c r="O55" s="1187"/>
      <c r="P55" s="880"/>
      <c r="Q55" s="1"/>
      <c r="R55" s="1000"/>
      <c r="S55" s="1000"/>
      <c r="T55" s="335"/>
      <c r="U55" s="1127"/>
      <c r="V55" s="1088"/>
      <c r="W55" s="1"/>
      <c r="X55" s="1"/>
      <c r="Y55" s="1"/>
      <c r="Z55" s="1"/>
      <c r="AA55" s="1"/>
      <c r="AB55" s="1"/>
      <c r="AC55" s="1"/>
      <c r="AD55" s="1"/>
      <c r="AE55" s="1"/>
      <c r="AF55" s="1"/>
      <c r="AG55" s="1"/>
      <c r="AH55" s="1"/>
      <c r="AI55" s="1"/>
      <c r="AJ55" s="1"/>
      <c r="AK55" s="1"/>
      <c r="AL55" s="1"/>
      <c r="AM55" s="1"/>
      <c r="AN55" s="1"/>
      <c r="AO55" s="1"/>
    </row>
    <row r="56" spans="1:41" s="743" customFormat="1" ht="13" x14ac:dyDescent="0.3">
      <c r="A56" s="1"/>
      <c r="B56" s="1622"/>
      <c r="C56" s="1"/>
      <c r="D56" s="1185"/>
      <c r="E56" s="1186"/>
      <c r="F56" s="1192"/>
      <c r="G56" s="1752" t="s">
        <v>1082</v>
      </c>
      <c r="H56" s="1753"/>
      <c r="I56" s="1753"/>
      <c r="J56" s="1753"/>
      <c r="K56" s="1754"/>
      <c r="L56" s="1193"/>
      <c r="M56" s="1752" t="s">
        <v>1083</v>
      </c>
      <c r="N56" s="1754"/>
      <c r="O56" s="1187"/>
      <c r="P56" s="1194"/>
      <c r="Q56" s="1"/>
      <c r="R56" s="1000"/>
      <c r="S56" s="1000"/>
      <c r="T56" s="335"/>
      <c r="U56" s="1127"/>
      <c r="V56" s="1088"/>
      <c r="W56" s="1"/>
      <c r="X56" s="1"/>
      <c r="Y56" s="1"/>
      <c r="Z56" s="1"/>
      <c r="AA56" s="1"/>
      <c r="AB56" s="1"/>
      <c r="AC56" s="1"/>
      <c r="AD56" s="1"/>
      <c r="AE56" s="1"/>
      <c r="AF56" s="1"/>
      <c r="AG56" s="1"/>
      <c r="AH56" s="1"/>
      <c r="AI56" s="1"/>
      <c r="AJ56" s="1"/>
      <c r="AK56" s="1"/>
      <c r="AL56" s="1"/>
      <c r="AM56" s="1"/>
      <c r="AN56" s="1"/>
      <c r="AO56" s="1"/>
    </row>
    <row r="57" spans="1:41" s="743" customFormat="1" ht="13.75" customHeight="1" x14ac:dyDescent="0.3">
      <c r="A57" s="1"/>
      <c r="B57" s="1622"/>
      <c r="C57" s="1"/>
      <c r="D57" s="1185"/>
      <c r="E57" s="1186"/>
      <c r="F57" s="1195" t="s">
        <v>1042</v>
      </c>
      <c r="G57" s="1747" t="s">
        <v>551</v>
      </c>
      <c r="H57" s="1757" t="s">
        <v>344</v>
      </c>
      <c r="I57" s="1757" t="s">
        <v>1105</v>
      </c>
      <c r="J57" s="1757" t="s">
        <v>554</v>
      </c>
      <c r="K57" s="1757" t="s">
        <v>1040</v>
      </c>
      <c r="L57" s="1777" t="s">
        <v>687</v>
      </c>
      <c r="M57" s="1750" t="s">
        <v>1043</v>
      </c>
      <c r="N57" s="1747" t="s">
        <v>1044</v>
      </c>
      <c r="O57" s="1187"/>
      <c r="P57" s="1194"/>
      <c r="Q57" s="1"/>
      <c r="R57" s="1000"/>
      <c r="S57" s="1000"/>
      <c r="T57" s="335"/>
      <c r="U57" s="1127"/>
      <c r="V57" s="1088"/>
      <c r="W57" s="1"/>
      <c r="X57" s="1"/>
      <c r="Y57" s="1"/>
      <c r="Z57" s="1"/>
      <c r="AA57" s="1"/>
      <c r="AB57" s="1"/>
      <c r="AC57" s="1"/>
      <c r="AD57" s="1"/>
      <c r="AE57" s="1"/>
      <c r="AF57" s="1"/>
      <c r="AG57" s="1"/>
      <c r="AH57" s="1"/>
      <c r="AI57" s="1"/>
      <c r="AJ57" s="1"/>
      <c r="AK57" s="1"/>
      <c r="AL57" s="1"/>
      <c r="AM57" s="1"/>
      <c r="AN57" s="1"/>
      <c r="AO57" s="1"/>
    </row>
    <row r="58" spans="1:41" s="743" customFormat="1" ht="13" x14ac:dyDescent="0.3">
      <c r="A58" s="1"/>
      <c r="B58" s="1622"/>
      <c r="C58" s="1"/>
      <c r="D58" s="1185"/>
      <c r="E58" s="1186"/>
      <c r="F58" s="1195"/>
      <c r="G58" s="1774"/>
      <c r="H58" s="1758"/>
      <c r="I58" s="1758"/>
      <c r="J58" s="1758"/>
      <c r="K58" s="1758"/>
      <c r="L58" s="1777"/>
      <c r="M58" s="1751"/>
      <c r="N58" s="1748"/>
      <c r="O58" s="1187"/>
      <c r="P58" s="1194"/>
      <c r="Q58" s="1"/>
      <c r="R58" s="1000"/>
      <c r="S58" s="1000"/>
      <c r="T58" s="335"/>
      <c r="U58" s="1127"/>
      <c r="V58" s="1088"/>
      <c r="W58" s="1"/>
      <c r="X58" s="1"/>
      <c r="Y58" s="1"/>
      <c r="Z58" s="1"/>
      <c r="AA58" s="1"/>
      <c r="AB58" s="1"/>
      <c r="AC58" s="1"/>
      <c r="AD58" s="1"/>
      <c r="AE58" s="1"/>
      <c r="AF58" s="1"/>
      <c r="AG58" s="1"/>
      <c r="AH58" s="1"/>
      <c r="AI58" s="1"/>
      <c r="AJ58" s="1"/>
      <c r="AK58" s="1"/>
      <c r="AL58" s="1"/>
      <c r="AM58" s="1"/>
      <c r="AN58" s="1"/>
      <c r="AO58" s="1"/>
    </row>
    <row r="59" spans="1:41" s="743" customFormat="1" x14ac:dyDescent="0.3">
      <c r="A59" s="1"/>
      <c r="B59" s="1622"/>
      <c r="C59" s="1"/>
      <c r="D59" s="1185"/>
      <c r="E59" s="1186"/>
      <c r="F59" s="1196" t="s">
        <v>1092</v>
      </c>
      <c r="G59" s="1486">
        <v>0.1227</v>
      </c>
      <c r="H59" s="1487">
        <v>11.34</v>
      </c>
      <c r="I59" s="1487">
        <v>0.18</v>
      </c>
      <c r="J59" s="1487">
        <v>9.39</v>
      </c>
      <c r="K59" s="1487">
        <v>217.92</v>
      </c>
      <c r="L59" s="1197"/>
      <c r="M59" s="1498">
        <v>-0.02</v>
      </c>
      <c r="N59" s="1499">
        <v>-0.02</v>
      </c>
      <c r="O59" s="1187"/>
      <c r="P59" s="1194"/>
      <c r="Q59" s="1"/>
      <c r="R59" s="1000"/>
      <c r="S59" s="1000"/>
      <c r="T59" s="335"/>
      <c r="U59" s="1127"/>
      <c r="V59" s="1088"/>
      <c r="W59" s="1"/>
      <c r="X59" s="1"/>
      <c r="Y59" s="1"/>
      <c r="Z59" s="1"/>
      <c r="AA59" s="1"/>
      <c r="AB59" s="1"/>
      <c r="AC59" s="1"/>
      <c r="AD59" s="1"/>
      <c r="AE59" s="1"/>
      <c r="AF59" s="1"/>
      <c r="AG59" s="1"/>
      <c r="AH59" s="1"/>
      <c r="AI59" s="1"/>
      <c r="AJ59" s="1"/>
      <c r="AK59" s="1"/>
      <c r="AL59" s="1"/>
      <c r="AM59" s="1"/>
      <c r="AN59" s="1"/>
      <c r="AO59" s="1"/>
    </row>
    <row r="60" spans="1:41" s="743" customFormat="1" x14ac:dyDescent="0.3">
      <c r="A60" s="1"/>
      <c r="B60" s="1622"/>
      <c r="C60" s="1"/>
      <c r="D60" s="1185"/>
      <c r="E60" s="1186"/>
      <c r="F60" s="1196" t="s">
        <v>1093</v>
      </c>
      <c r="G60" s="1488" t="s">
        <v>345</v>
      </c>
      <c r="H60" s="1489" t="s">
        <v>359</v>
      </c>
      <c r="I60" s="1490" t="s">
        <v>346</v>
      </c>
      <c r="J60" s="1490" t="s">
        <v>347</v>
      </c>
      <c r="K60" s="1491" t="s">
        <v>1114</v>
      </c>
      <c r="L60" s="1198"/>
      <c r="M60" s="1488" t="s">
        <v>345</v>
      </c>
      <c r="N60" s="1491" t="s">
        <v>345</v>
      </c>
      <c r="O60" s="1187"/>
      <c r="P60" s="1194"/>
      <c r="Q60" s="1"/>
      <c r="R60" s="1000"/>
      <c r="S60" s="1000"/>
      <c r="T60" s="335"/>
      <c r="U60" s="1127"/>
      <c r="V60" s="1088"/>
      <c r="W60" s="1"/>
      <c r="X60" s="1"/>
      <c r="Y60" s="1"/>
      <c r="Z60" s="1"/>
      <c r="AA60" s="1"/>
      <c r="AB60" s="1"/>
      <c r="AC60" s="1"/>
      <c r="AD60" s="1"/>
      <c r="AE60" s="1"/>
      <c r="AF60" s="1"/>
      <c r="AG60" s="1"/>
      <c r="AH60" s="1"/>
      <c r="AI60" s="1"/>
      <c r="AJ60" s="1"/>
      <c r="AK60" s="1"/>
      <c r="AL60" s="1"/>
      <c r="AM60" s="1"/>
      <c r="AN60" s="1"/>
      <c r="AO60" s="1"/>
    </row>
    <row r="61" spans="1:41" s="743" customFormat="1" ht="13" x14ac:dyDescent="0.3">
      <c r="A61" s="1"/>
      <c r="B61" s="1622"/>
      <c r="C61" s="1"/>
      <c r="D61" s="1185"/>
      <c r="E61" s="1186"/>
      <c r="F61" s="1196"/>
      <c r="G61" s="1199"/>
      <c r="H61" s="1199"/>
      <c r="I61" s="1199"/>
      <c r="J61" s="1199"/>
      <c r="K61" s="1199"/>
      <c r="L61" s="1199"/>
      <c r="M61" s="1199"/>
      <c r="N61" s="1199"/>
      <c r="O61" s="1187"/>
      <c r="P61" s="1200"/>
      <c r="Q61" s="1"/>
      <c r="R61" s="1000"/>
      <c r="S61" s="1000"/>
      <c r="T61" s="335"/>
      <c r="U61" s="1127"/>
      <c r="V61" s="1088"/>
      <c r="W61" s="1"/>
      <c r="X61" s="1"/>
      <c r="Y61" s="1"/>
      <c r="Z61" s="1"/>
      <c r="AA61" s="1"/>
      <c r="AB61" s="1"/>
      <c r="AC61" s="1"/>
      <c r="AD61" s="1"/>
      <c r="AE61" s="1"/>
      <c r="AF61" s="1"/>
      <c r="AG61" s="1"/>
      <c r="AH61" s="1"/>
      <c r="AI61" s="1"/>
      <c r="AJ61" s="1"/>
      <c r="AK61" s="1"/>
      <c r="AL61" s="1"/>
      <c r="AM61" s="1"/>
      <c r="AN61" s="1"/>
      <c r="AO61" s="1"/>
    </row>
    <row r="62" spans="1:41" s="743" customFormat="1" ht="13" x14ac:dyDescent="0.3">
      <c r="A62" s="1"/>
      <c r="B62" s="1622"/>
      <c r="C62" s="1"/>
      <c r="D62" s="1185"/>
      <c r="E62" s="1186"/>
      <c r="F62" s="1201" t="s">
        <v>229</v>
      </c>
      <c r="G62" s="1199"/>
      <c r="H62" s="1199"/>
      <c r="I62" s="1199"/>
      <c r="J62" s="1199"/>
      <c r="K62" s="1199"/>
      <c r="L62" s="1199"/>
      <c r="M62" s="1202"/>
      <c r="N62" s="1199"/>
      <c r="O62" s="1187"/>
      <c r="P62" s="1200"/>
      <c r="Q62" s="1"/>
      <c r="R62" s="1000"/>
      <c r="S62" s="1000"/>
      <c r="T62" s="335"/>
      <c r="U62" s="1127"/>
      <c r="V62" s="1088"/>
      <c r="W62" s="1"/>
      <c r="X62" s="1"/>
      <c r="Y62" s="1"/>
      <c r="Z62" s="1"/>
      <c r="AA62" s="1"/>
      <c r="AB62" s="1"/>
      <c r="AC62" s="1"/>
      <c r="AD62" s="1"/>
      <c r="AE62" s="1"/>
      <c r="AF62" s="1"/>
      <c r="AG62" s="1"/>
      <c r="AH62" s="1"/>
      <c r="AI62" s="1"/>
      <c r="AJ62" s="1"/>
      <c r="AK62" s="1"/>
      <c r="AL62" s="1"/>
      <c r="AM62" s="1"/>
      <c r="AN62" s="1"/>
      <c r="AO62" s="1"/>
    </row>
    <row r="63" spans="1:41" s="743" customFormat="1" ht="13" x14ac:dyDescent="0.3">
      <c r="A63" s="1"/>
      <c r="B63" s="1622"/>
      <c r="C63" s="1"/>
      <c r="D63" s="1185"/>
      <c r="E63" s="1186"/>
      <c r="F63" s="1484" t="s">
        <v>230</v>
      </c>
      <c r="G63" s="1500"/>
      <c r="H63" s="1500"/>
      <c r="I63" s="1500"/>
      <c r="J63" s="1500"/>
      <c r="K63" s="1500"/>
      <c r="L63" s="1203"/>
      <c r="M63" s="1495"/>
      <c r="N63" s="1497"/>
      <c r="O63" s="1187"/>
      <c r="P63" s="1204"/>
      <c r="Q63" s="1"/>
      <c r="R63" s="1000"/>
      <c r="S63" s="1000"/>
      <c r="T63" s="335"/>
      <c r="U63" s="1127"/>
      <c r="V63" s="1088"/>
      <c r="W63" s="1"/>
      <c r="X63" s="1"/>
      <c r="Y63" s="1"/>
      <c r="Z63" s="1"/>
      <c r="AA63" s="1"/>
      <c r="AB63" s="1"/>
      <c r="AC63" s="1"/>
      <c r="AD63" s="1"/>
      <c r="AE63" s="1"/>
      <c r="AF63" s="1"/>
      <c r="AG63" s="1"/>
      <c r="AH63" s="1"/>
      <c r="AI63" s="1"/>
      <c r="AJ63" s="1"/>
      <c r="AK63" s="1"/>
      <c r="AL63" s="1"/>
      <c r="AM63" s="1"/>
      <c r="AN63" s="1"/>
      <c r="AO63" s="1"/>
    </row>
    <row r="64" spans="1:41" s="743" customFormat="1" ht="13" x14ac:dyDescent="0.3">
      <c r="A64" s="1"/>
      <c r="B64" s="1622"/>
      <c r="C64" s="1"/>
      <c r="D64" s="1185"/>
      <c r="E64" s="1186"/>
      <c r="F64" s="1484" t="s">
        <v>232</v>
      </c>
      <c r="G64" s="1500"/>
      <c r="H64" s="1500"/>
      <c r="I64" s="1500"/>
      <c r="J64" s="1500"/>
      <c r="K64" s="1500"/>
      <c r="L64" s="1203"/>
      <c r="M64" s="1495"/>
      <c r="N64" s="1501"/>
      <c r="O64" s="1187"/>
      <c r="P64" s="477"/>
      <c r="Q64" s="1"/>
      <c r="R64" s="1000"/>
      <c r="S64" s="1000"/>
      <c r="T64" s="335"/>
      <c r="U64" s="1127"/>
      <c r="V64" s="1088"/>
      <c r="W64" s="1"/>
      <c r="X64" s="1"/>
      <c r="Y64" s="1"/>
      <c r="Z64" s="1"/>
      <c r="AA64" s="1"/>
      <c r="AB64" s="1"/>
      <c r="AC64" s="1"/>
      <c r="AD64" s="1"/>
      <c r="AE64" s="1"/>
      <c r="AF64" s="1"/>
      <c r="AG64" s="1"/>
      <c r="AH64" s="1"/>
      <c r="AI64" s="1"/>
      <c r="AJ64" s="1"/>
      <c r="AK64" s="1"/>
      <c r="AL64" s="1"/>
      <c r="AM64" s="1"/>
      <c r="AN64" s="1"/>
      <c r="AO64" s="1"/>
    </row>
    <row r="65" spans="1:41" s="743" customFormat="1" ht="13" x14ac:dyDescent="0.3">
      <c r="A65" s="1"/>
      <c r="B65" s="1622"/>
      <c r="C65" s="1"/>
      <c r="D65" s="1185"/>
      <c r="E65" s="1186"/>
      <c r="F65" s="1484" t="s">
        <v>234</v>
      </c>
      <c r="G65" s="1500"/>
      <c r="H65" s="1500"/>
      <c r="I65" s="1500"/>
      <c r="J65" s="1500"/>
      <c r="K65" s="1500"/>
      <c r="L65" s="1203"/>
      <c r="M65" s="1495"/>
      <c r="N65" s="1501"/>
      <c r="O65" s="1187"/>
      <c r="P65" s="477"/>
      <c r="Q65" s="1"/>
      <c r="R65" s="1000"/>
      <c r="S65" s="1000"/>
      <c r="T65" s="335"/>
      <c r="U65" s="1127"/>
      <c r="V65" s="1088"/>
      <c r="W65" s="1"/>
      <c r="X65" s="1"/>
      <c r="Y65" s="1"/>
      <c r="Z65" s="1"/>
      <c r="AA65" s="1"/>
      <c r="AB65" s="1"/>
      <c r="AC65" s="1"/>
      <c r="AD65" s="1"/>
      <c r="AE65" s="1"/>
      <c r="AF65" s="1"/>
      <c r="AG65" s="1"/>
      <c r="AH65" s="1"/>
      <c r="AI65" s="1"/>
      <c r="AJ65" s="1"/>
      <c r="AK65" s="1"/>
      <c r="AL65" s="1"/>
      <c r="AM65" s="1"/>
      <c r="AN65" s="1"/>
      <c r="AO65" s="1"/>
    </row>
    <row r="66" spans="1:41" s="1205" customFormat="1" ht="13" x14ac:dyDescent="0.3">
      <c r="A66" s="476"/>
      <c r="B66" s="1622"/>
      <c r="C66" s="476"/>
      <c r="D66" s="1185"/>
      <c r="E66" s="1186"/>
      <c r="F66" s="1484" t="s">
        <v>236</v>
      </c>
      <c r="G66" s="1500"/>
      <c r="H66" s="1500"/>
      <c r="I66" s="1500"/>
      <c r="J66" s="1500"/>
      <c r="K66" s="1500"/>
      <c r="L66" s="1203"/>
      <c r="M66" s="1495"/>
      <c r="N66" s="1501"/>
      <c r="O66" s="1187"/>
      <c r="P66" s="477"/>
      <c r="Q66" s="476"/>
      <c r="R66" s="1000"/>
      <c r="S66" s="1000"/>
      <c r="T66" s="335"/>
      <c r="U66" s="1127"/>
      <c r="V66" s="1088"/>
      <c r="W66" s="476"/>
      <c r="X66" s="476"/>
      <c r="Y66" s="476"/>
      <c r="Z66" s="476"/>
      <c r="AA66" s="476"/>
      <c r="AB66" s="476"/>
      <c r="AC66" s="476"/>
      <c r="AD66" s="476"/>
      <c r="AE66" s="476"/>
      <c r="AF66" s="476"/>
      <c r="AG66" s="476"/>
      <c r="AH66" s="476"/>
      <c r="AI66" s="476"/>
      <c r="AJ66" s="476"/>
      <c r="AK66" s="476"/>
      <c r="AL66" s="476"/>
      <c r="AM66" s="476"/>
      <c r="AN66" s="476"/>
      <c r="AO66" s="476"/>
    </row>
    <row r="67" spans="1:41" s="1205" customFormat="1" ht="13" x14ac:dyDescent="0.3">
      <c r="A67" s="476"/>
      <c r="B67" s="1622"/>
      <c r="C67" s="476"/>
      <c r="D67" s="1185"/>
      <c r="E67" s="1186"/>
      <c r="F67" s="1484" t="s">
        <v>237</v>
      </c>
      <c r="G67" s="1500"/>
      <c r="H67" s="1500"/>
      <c r="I67" s="1500"/>
      <c r="J67" s="1500"/>
      <c r="K67" s="1500"/>
      <c r="L67" s="1203"/>
      <c r="M67" s="1495"/>
      <c r="N67" s="1501"/>
      <c r="O67" s="1187"/>
      <c r="P67" s="1204"/>
      <c r="Q67" s="476"/>
      <c r="R67" s="1000"/>
      <c r="S67" s="1000"/>
      <c r="T67" s="335"/>
      <c r="U67" s="1127"/>
      <c r="V67" s="1088"/>
      <c r="W67" s="476"/>
      <c r="X67" s="476"/>
      <c r="Y67" s="476"/>
      <c r="Z67" s="476"/>
      <c r="AA67" s="476"/>
      <c r="AB67" s="476"/>
      <c r="AC67" s="476"/>
      <c r="AD67" s="476"/>
      <c r="AE67" s="476"/>
      <c r="AF67" s="476"/>
      <c r="AG67" s="476"/>
      <c r="AH67" s="476"/>
      <c r="AI67" s="476"/>
      <c r="AJ67" s="476"/>
      <c r="AK67" s="476"/>
      <c r="AL67" s="476"/>
      <c r="AM67" s="476"/>
      <c r="AN67" s="476"/>
      <c r="AO67" s="476"/>
    </row>
    <row r="68" spans="1:41" s="1205" customFormat="1" ht="13" x14ac:dyDescent="0.3">
      <c r="A68" s="476"/>
      <c r="B68" s="1622"/>
      <c r="C68" s="476"/>
      <c r="D68" s="1185"/>
      <c r="E68" s="1186"/>
      <c r="F68" s="1484" t="s">
        <v>238</v>
      </c>
      <c r="G68" s="1500"/>
      <c r="H68" s="1500"/>
      <c r="I68" s="1500"/>
      <c r="J68" s="1500"/>
      <c r="K68" s="1500"/>
      <c r="L68" s="1203"/>
      <c r="M68" s="1495"/>
      <c r="N68" s="1501"/>
      <c r="O68" s="1187"/>
      <c r="P68" s="1204"/>
      <c r="Q68" s="476"/>
      <c r="R68" s="1000"/>
      <c r="S68" s="1000"/>
      <c r="T68" s="335"/>
      <c r="U68" s="1127"/>
      <c r="V68" s="1088"/>
      <c r="W68" s="476"/>
      <c r="X68" s="476"/>
      <c r="Y68" s="476"/>
      <c r="Z68" s="476"/>
      <c r="AA68" s="476"/>
      <c r="AB68" s="476"/>
      <c r="AC68" s="476"/>
      <c r="AD68" s="476"/>
      <c r="AE68" s="476"/>
      <c r="AF68" s="476"/>
      <c r="AG68" s="476"/>
      <c r="AH68" s="476"/>
      <c r="AI68" s="476"/>
      <c r="AJ68" s="476"/>
      <c r="AK68" s="476"/>
      <c r="AL68" s="476"/>
      <c r="AM68" s="476"/>
      <c r="AN68" s="476"/>
      <c r="AO68" s="476"/>
    </row>
    <row r="69" spans="1:41" s="1205" customFormat="1" ht="13" x14ac:dyDescent="0.3">
      <c r="A69" s="476"/>
      <c r="B69" s="1622"/>
      <c r="C69" s="476"/>
      <c r="D69" s="1185"/>
      <c r="E69" s="1186"/>
      <c r="F69" s="1484" t="s">
        <v>239</v>
      </c>
      <c r="G69" s="1500"/>
      <c r="H69" s="1500"/>
      <c r="I69" s="1500"/>
      <c r="J69" s="1500"/>
      <c r="K69" s="1500"/>
      <c r="L69" s="1203"/>
      <c r="M69" s="1495"/>
      <c r="N69" s="1501"/>
      <c r="O69" s="1187"/>
      <c r="P69" s="1204"/>
      <c r="Q69" s="476"/>
      <c r="R69" s="1000"/>
      <c r="S69" s="1000"/>
      <c r="T69" s="335"/>
      <c r="U69" s="1127"/>
      <c r="V69" s="1088"/>
      <c r="W69" s="476"/>
      <c r="X69" s="476"/>
      <c r="Y69" s="476"/>
      <c r="Z69" s="476"/>
      <c r="AA69" s="476"/>
      <c r="AB69" s="476"/>
      <c r="AC69" s="476"/>
      <c r="AD69" s="476"/>
      <c r="AE69" s="476"/>
      <c r="AF69" s="476"/>
      <c r="AG69" s="476"/>
      <c r="AH69" s="476"/>
      <c r="AI69" s="476"/>
      <c r="AJ69" s="476"/>
      <c r="AK69" s="476"/>
      <c r="AL69" s="476"/>
      <c r="AM69" s="476"/>
      <c r="AN69" s="476"/>
      <c r="AO69" s="476"/>
    </row>
    <row r="70" spans="1:41" s="1205" customFormat="1" ht="13" x14ac:dyDescent="0.3">
      <c r="A70" s="476"/>
      <c r="B70" s="1622"/>
      <c r="C70" s="476"/>
      <c r="D70" s="1185"/>
      <c r="E70" s="1186"/>
      <c r="F70" s="1484" t="s">
        <v>240</v>
      </c>
      <c r="G70" s="1500"/>
      <c r="H70" s="1500"/>
      <c r="I70" s="1500"/>
      <c r="J70" s="1500"/>
      <c r="K70" s="1500"/>
      <c r="L70" s="1203"/>
      <c r="M70" s="1495"/>
      <c r="N70" s="1501"/>
      <c r="O70" s="1187"/>
      <c r="P70" s="1204"/>
      <c r="Q70" s="476"/>
      <c r="R70" s="1000"/>
      <c r="S70" s="1000"/>
      <c r="T70" s="335"/>
      <c r="U70" s="1127"/>
      <c r="V70" s="1088"/>
      <c r="W70" s="476"/>
      <c r="X70" s="476"/>
      <c r="Y70" s="476"/>
      <c r="Z70" s="476"/>
      <c r="AA70" s="476"/>
      <c r="AB70" s="476"/>
      <c r="AC70" s="476"/>
      <c r="AD70" s="476"/>
      <c r="AE70" s="476"/>
      <c r="AF70" s="476"/>
      <c r="AG70" s="476"/>
      <c r="AH70" s="476"/>
      <c r="AI70" s="476"/>
      <c r="AJ70" s="476"/>
      <c r="AK70" s="476"/>
      <c r="AL70" s="476"/>
      <c r="AM70" s="476"/>
      <c r="AN70" s="476"/>
      <c r="AO70" s="476"/>
    </row>
    <row r="71" spans="1:41" s="1206" customFormat="1" x14ac:dyDescent="0.35">
      <c r="B71" s="1622" t="s">
        <v>1205</v>
      </c>
      <c r="C71" s="476"/>
      <c r="D71" s="1185"/>
      <c r="E71" s="1186"/>
      <c r="F71" s="1484" t="s">
        <v>241</v>
      </c>
      <c r="G71" s="1500"/>
      <c r="H71" s="1500"/>
      <c r="I71" s="1500"/>
      <c r="J71" s="1500"/>
      <c r="K71" s="1500"/>
      <c r="L71" s="1203"/>
      <c r="M71" s="1495"/>
      <c r="N71" s="1501"/>
      <c r="O71" s="1187"/>
      <c r="P71" s="1204"/>
      <c r="Q71" s="476"/>
      <c r="R71" s="1000"/>
      <c r="S71" s="1000"/>
      <c r="T71" s="335"/>
      <c r="U71" s="1127"/>
      <c r="V71" s="1088"/>
    </row>
    <row r="72" spans="1:41" s="1205" customFormat="1" ht="13" x14ac:dyDescent="0.3">
      <c r="A72" s="476"/>
      <c r="B72" s="1622"/>
      <c r="C72" s="476"/>
      <c r="D72" s="1185"/>
      <c r="E72" s="1186"/>
      <c r="F72" s="1484" t="s">
        <v>242</v>
      </c>
      <c r="G72" s="1500"/>
      <c r="H72" s="1500"/>
      <c r="I72" s="1500"/>
      <c r="J72" s="1500"/>
      <c r="K72" s="1500"/>
      <c r="L72" s="1203"/>
      <c r="M72" s="1495"/>
      <c r="N72" s="1501"/>
      <c r="O72" s="1187"/>
      <c r="P72" s="1204"/>
      <c r="Q72" s="476"/>
      <c r="R72" s="1000"/>
      <c r="S72" s="1000"/>
      <c r="T72" s="335"/>
      <c r="U72" s="1127"/>
      <c r="V72" s="1088"/>
      <c r="W72" s="476"/>
      <c r="X72" s="476"/>
      <c r="Y72" s="476"/>
      <c r="Z72" s="476"/>
      <c r="AA72" s="476"/>
      <c r="AB72" s="476"/>
      <c r="AC72" s="476"/>
      <c r="AD72" s="476"/>
      <c r="AE72" s="476"/>
      <c r="AF72" s="476"/>
      <c r="AG72" s="476"/>
      <c r="AH72" s="476"/>
      <c r="AI72" s="476"/>
      <c r="AJ72" s="476"/>
      <c r="AK72" s="476"/>
      <c r="AL72" s="476"/>
      <c r="AM72" s="476"/>
      <c r="AN72" s="476"/>
      <c r="AO72" s="476"/>
    </row>
    <row r="73" spans="1:41" s="1205" customFormat="1" ht="13" x14ac:dyDescent="0.3">
      <c r="A73" s="476"/>
      <c r="B73" s="1622"/>
      <c r="C73" s="476"/>
      <c r="D73" s="1185"/>
      <c r="E73" s="1186"/>
      <c r="F73" s="1484" t="s">
        <v>243</v>
      </c>
      <c r="G73" s="1500"/>
      <c r="H73" s="1500"/>
      <c r="I73" s="1500"/>
      <c r="J73" s="1500"/>
      <c r="K73" s="1500"/>
      <c r="L73" s="1203"/>
      <c r="M73" s="1495"/>
      <c r="N73" s="1501"/>
      <c r="O73" s="1187"/>
      <c r="P73" s="1204"/>
      <c r="Q73" s="476"/>
      <c r="R73" s="1000"/>
      <c r="S73" s="1000"/>
      <c r="T73" s="335"/>
      <c r="U73" s="1127"/>
      <c r="V73" s="1088"/>
      <c r="W73" s="476"/>
      <c r="X73" s="476"/>
      <c r="Y73" s="476"/>
      <c r="Z73" s="476"/>
      <c r="AA73" s="476"/>
      <c r="AB73" s="476"/>
      <c r="AC73" s="476"/>
      <c r="AD73" s="476"/>
      <c r="AE73" s="476"/>
      <c r="AF73" s="476"/>
      <c r="AG73" s="476"/>
      <c r="AH73" s="476"/>
      <c r="AI73" s="476"/>
      <c r="AJ73" s="476"/>
      <c r="AK73" s="476"/>
      <c r="AL73" s="476"/>
      <c r="AM73" s="476"/>
      <c r="AN73" s="476"/>
      <c r="AO73" s="476"/>
    </row>
    <row r="74" spans="1:41" s="743" customFormat="1" ht="13" x14ac:dyDescent="0.3">
      <c r="A74" s="1"/>
      <c r="B74" s="1622"/>
      <c r="C74" s="1"/>
      <c r="D74" s="1185"/>
      <c r="E74" s="1186"/>
      <c r="F74" s="1484" t="s">
        <v>244</v>
      </c>
      <c r="G74" s="1500"/>
      <c r="H74" s="1500"/>
      <c r="I74" s="1500"/>
      <c r="J74" s="1500"/>
      <c r="K74" s="1500"/>
      <c r="L74" s="1203"/>
      <c r="M74" s="1495"/>
      <c r="N74" s="1502"/>
      <c r="O74" s="1187"/>
      <c r="P74" s="1204"/>
      <c r="Q74" s="1"/>
      <c r="R74" s="1000"/>
      <c r="S74" s="1000"/>
      <c r="T74" s="335"/>
      <c r="U74" s="1127"/>
      <c r="V74" s="1088"/>
      <c r="W74" s="1"/>
      <c r="X74" s="1"/>
      <c r="Y74" s="1"/>
      <c r="Z74" s="1"/>
      <c r="AA74" s="1"/>
      <c r="AB74" s="1"/>
      <c r="AC74" s="1"/>
      <c r="AD74" s="1"/>
      <c r="AE74" s="1"/>
      <c r="AF74" s="1"/>
      <c r="AG74" s="1"/>
      <c r="AH74" s="1"/>
      <c r="AI74" s="1"/>
      <c r="AJ74" s="1"/>
      <c r="AK74" s="1"/>
      <c r="AL74" s="1"/>
      <c r="AM74" s="1"/>
      <c r="AN74" s="1"/>
      <c r="AO74" s="1"/>
    </row>
    <row r="75" spans="1:41" s="743" customFormat="1" ht="13" x14ac:dyDescent="0.3">
      <c r="A75" s="1"/>
      <c r="B75" s="1622"/>
      <c r="C75" s="1"/>
      <c r="D75" s="1185"/>
      <c r="E75" s="1186"/>
      <c r="F75" s="1186"/>
      <c r="G75" s="1186"/>
      <c r="H75" s="1186"/>
      <c r="I75" s="1186"/>
      <c r="J75" s="1186"/>
      <c r="K75" s="1186"/>
      <c r="L75" s="1186"/>
      <c r="M75" s="1186"/>
      <c r="N75" s="1186"/>
      <c r="O75" s="1186"/>
      <c r="P75" s="1204"/>
      <c r="Q75" s="1"/>
      <c r="R75" s="1000"/>
      <c r="S75" s="1000"/>
      <c r="T75" s="335"/>
      <c r="U75" s="1127"/>
      <c r="V75" s="1088"/>
      <c r="W75" s="1"/>
      <c r="X75" s="1"/>
      <c r="Y75" s="1"/>
      <c r="Z75" s="1"/>
      <c r="AA75" s="1"/>
      <c r="AB75" s="1"/>
      <c r="AC75" s="1"/>
      <c r="AD75" s="1"/>
      <c r="AE75" s="1"/>
      <c r="AF75" s="1"/>
      <c r="AG75" s="1"/>
      <c r="AH75" s="1"/>
      <c r="AI75" s="1"/>
      <c r="AJ75" s="1"/>
      <c r="AK75" s="1"/>
      <c r="AL75" s="1"/>
      <c r="AM75" s="1"/>
      <c r="AN75" s="1"/>
      <c r="AO75" s="1"/>
    </row>
    <row r="76" spans="1:41" s="743" customFormat="1" ht="13.75" customHeight="1" x14ac:dyDescent="0.3">
      <c r="A76" s="1"/>
      <c r="B76" s="753"/>
      <c r="C76" s="1"/>
      <c r="D76" s="1185"/>
      <c r="E76" s="1186"/>
      <c r="F76" s="1207" t="s">
        <v>771</v>
      </c>
      <c r="G76" s="1208">
        <f t="shared" ref="G76" si="5">SUM(G63:G74)</f>
        <v>0</v>
      </c>
      <c r="H76" s="1208">
        <f t="shared" ref="H76:K76" si="6">SUM(H63:H74)</f>
        <v>0</v>
      </c>
      <c r="I76" s="1208">
        <f t="shared" si="6"/>
        <v>0</v>
      </c>
      <c r="J76" s="1208">
        <f t="shared" si="6"/>
        <v>0</v>
      </c>
      <c r="K76" s="1208">
        <f t="shared" si="6"/>
        <v>0</v>
      </c>
      <c r="L76" s="1208"/>
      <c r="M76" s="1208">
        <f t="shared" ref="M76:N76" si="7">SUM(M63:M74)</f>
        <v>0</v>
      </c>
      <c r="N76" s="1208">
        <f t="shared" si="7"/>
        <v>0</v>
      </c>
      <c r="O76" s="1209"/>
      <c r="P76" s="1204"/>
      <c r="Q76" s="1"/>
      <c r="R76" s="1000"/>
      <c r="S76" s="1000"/>
      <c r="T76" s="335"/>
      <c r="U76" s="1127"/>
      <c r="V76" s="1088"/>
      <c r="W76" s="1"/>
      <c r="X76" s="1"/>
      <c r="Y76" s="1"/>
      <c r="Z76" s="1"/>
      <c r="AA76" s="1"/>
      <c r="AB76" s="1"/>
      <c r="AC76" s="1"/>
      <c r="AD76" s="1"/>
      <c r="AE76" s="1"/>
      <c r="AF76" s="1"/>
      <c r="AG76" s="1"/>
      <c r="AH76" s="1"/>
      <c r="AI76" s="1"/>
      <c r="AJ76" s="1"/>
      <c r="AK76" s="1"/>
      <c r="AL76" s="1"/>
      <c r="AM76" s="1"/>
      <c r="AN76" s="1"/>
      <c r="AO76" s="1"/>
    </row>
    <row r="77" spans="1:41" s="743" customFormat="1" ht="13" x14ac:dyDescent="0.3">
      <c r="A77" s="1"/>
      <c r="B77" s="753"/>
      <c r="C77" s="1"/>
      <c r="D77" s="775"/>
      <c r="E77" s="1191"/>
      <c r="F77" s="1210" t="s">
        <v>358</v>
      </c>
      <c r="G77" s="1211">
        <f>IFERROR(VLOOKUP(60:60,Conversion_to_kBtu_Table, 2, FALSE),"")</f>
        <v>3.41214</v>
      </c>
      <c r="H77" s="1211">
        <f>IFERROR(VLOOKUP(60:60,Conversion_to_kBtu_Table, 2, FALSE),"")</f>
        <v>1026</v>
      </c>
      <c r="I77" s="1211">
        <f>IFERROR(VLOOKUP(60:60,Conversion_to_kBtu_Table, 2, FALSE),"")</f>
        <v>1000</v>
      </c>
      <c r="J77" s="1211">
        <f>IFERROR(VLOOKUP(60:60,Conversion_to_kBtu_Table, 2, FALSE),"")</f>
        <v>1194</v>
      </c>
      <c r="K77" s="1211">
        <f>IFERROR(VLOOKUP(60:60,Conversion_to_kBtu_Table, 2, FALSE),"")</f>
        <v>17480</v>
      </c>
      <c r="L77" s="1208"/>
      <c r="M77" s="1211">
        <f>IFERROR(VLOOKUP(60:60,Conversion_to_kBtu_Table, 2, FALSE),"")</f>
        <v>3.41214</v>
      </c>
      <c r="N77" s="1211">
        <f>IFERROR(VLOOKUP(60:60,Conversion_to_kBtu_Table, 2, FALSE),"")</f>
        <v>3.41214</v>
      </c>
      <c r="O77" s="1209"/>
      <c r="P77" s="1204"/>
      <c r="Q77" s="1"/>
      <c r="R77" s="1000"/>
      <c r="S77" s="1000"/>
      <c r="T77" s="335"/>
      <c r="U77" s="1127"/>
      <c r="V77" s="1088"/>
      <c r="W77" s="1"/>
      <c r="X77" s="1"/>
      <c r="Y77" s="1"/>
      <c r="Z77" s="1"/>
      <c r="AA77" s="1"/>
      <c r="AB77" s="1"/>
      <c r="AC77" s="1"/>
      <c r="AD77" s="1"/>
      <c r="AE77" s="1"/>
      <c r="AF77" s="1"/>
      <c r="AG77" s="1"/>
      <c r="AH77" s="1"/>
      <c r="AI77" s="1"/>
      <c r="AJ77" s="1"/>
      <c r="AK77" s="1"/>
      <c r="AL77" s="1"/>
      <c r="AM77" s="1"/>
      <c r="AN77" s="1"/>
      <c r="AO77" s="1"/>
    </row>
    <row r="78" spans="1:41" s="743" customFormat="1" ht="13" x14ac:dyDescent="0.3">
      <c r="A78" s="1"/>
      <c r="B78" s="753"/>
      <c r="C78" s="1"/>
      <c r="D78" s="775"/>
      <c r="E78" s="1212"/>
      <c r="F78" s="1213" t="s">
        <v>1038</v>
      </c>
      <c r="G78" s="1214">
        <f>76:76*77:77</f>
        <v>0</v>
      </c>
      <c r="H78" s="1214">
        <f t="shared" ref="H78:N78" si="8">76:76*77:77</f>
        <v>0</v>
      </c>
      <c r="I78" s="1214">
        <f t="shared" si="8"/>
        <v>0</v>
      </c>
      <c r="J78" s="1214">
        <f t="shared" si="8"/>
        <v>0</v>
      </c>
      <c r="K78" s="1214">
        <f t="shared" si="8"/>
        <v>0</v>
      </c>
      <c r="L78" s="1208"/>
      <c r="M78" s="1214">
        <f t="shared" si="8"/>
        <v>0</v>
      </c>
      <c r="N78" s="1214">
        <f t="shared" si="8"/>
        <v>0</v>
      </c>
      <c r="O78" s="1187"/>
      <c r="P78" s="1204"/>
      <c r="Q78" s="1"/>
      <c r="R78" s="1000"/>
      <c r="S78" s="1000"/>
      <c r="T78" s="335"/>
      <c r="U78" s="1127"/>
      <c r="V78" s="1088"/>
      <c r="W78" s="1"/>
      <c r="X78" s="1"/>
      <c r="Y78" s="1"/>
      <c r="Z78" s="1"/>
      <c r="AA78" s="1"/>
      <c r="AB78" s="1"/>
      <c r="AC78" s="1"/>
      <c r="AD78" s="1"/>
      <c r="AE78" s="1"/>
      <c r="AF78" s="1"/>
      <c r="AG78" s="1"/>
      <c r="AH78" s="1"/>
      <c r="AI78" s="1"/>
      <c r="AJ78" s="1"/>
      <c r="AK78" s="1"/>
      <c r="AL78" s="1"/>
      <c r="AM78" s="1"/>
      <c r="AN78" s="1"/>
      <c r="AO78" s="1"/>
    </row>
    <row r="79" spans="1:41" s="743" customFormat="1" ht="13" x14ac:dyDescent="0.3">
      <c r="A79" s="1"/>
      <c r="B79" s="753"/>
      <c r="C79" s="1"/>
      <c r="D79" s="775"/>
      <c r="E79" s="1212"/>
      <c r="F79" s="1215"/>
      <c r="G79" s="1214"/>
      <c r="H79" s="1214"/>
      <c r="I79" s="1214"/>
      <c r="J79" s="1214"/>
      <c r="K79" s="1214"/>
      <c r="L79" s="1208"/>
      <c r="M79" s="1214"/>
      <c r="N79" s="1214"/>
      <c r="O79" s="1187"/>
      <c r="P79" s="1204"/>
      <c r="Q79" s="1"/>
      <c r="R79" s="1000"/>
      <c r="S79" s="1000"/>
      <c r="T79" s="335"/>
      <c r="U79" s="1127"/>
      <c r="V79" s="1088"/>
      <c r="W79" s="1"/>
      <c r="X79" s="1"/>
      <c r="Y79" s="1"/>
      <c r="Z79" s="1"/>
      <c r="AA79" s="1"/>
      <c r="AB79" s="1"/>
      <c r="AC79" s="1"/>
      <c r="AD79" s="1"/>
      <c r="AE79" s="1"/>
      <c r="AF79" s="1"/>
      <c r="AG79" s="1"/>
      <c r="AH79" s="1"/>
      <c r="AI79" s="1"/>
      <c r="AJ79" s="1"/>
      <c r="AK79" s="1"/>
      <c r="AL79" s="1"/>
      <c r="AM79" s="1"/>
      <c r="AN79" s="1"/>
      <c r="AO79" s="1"/>
    </row>
    <row r="80" spans="1:41" s="743" customFormat="1" ht="13" x14ac:dyDescent="0.3">
      <c r="A80" s="1"/>
      <c r="B80" s="753"/>
      <c r="C80" s="1"/>
      <c r="D80" s="775"/>
      <c r="E80" s="1191"/>
      <c r="F80" s="1216" t="s">
        <v>769</v>
      </c>
      <c r="G80" s="1217">
        <f>IFERROR(VLOOKUP(G57,Fuel_Source_Carbon_Table,2,FALSE),0)</f>
        <v>0.11330763094921563</v>
      </c>
      <c r="H80" s="1217">
        <f>IFERROR(VLOOKUP(H57,Fuel_Source_Carbon_Table,2,FALSE),0)</f>
        <v>5.3109999999999997E-2</v>
      </c>
      <c r="I80" s="1217">
        <f>IFERROR(VLOOKUP(I57,Fuel_Source_Carbon_Table,2,FALSE),0)</f>
        <v>4.931E-2</v>
      </c>
      <c r="J80" s="1217">
        <f>IFERROR(VLOOKUP(J57,Fuel_Source_Carbon_Table,2,FALSE),0)</f>
        <v>6.6400000000000001E-2</v>
      </c>
      <c r="K80" s="1217">
        <f>IFERROR(VLOOKUP(K57,Fuel_Source_Carbon_Table,2,FALSE),0)</f>
        <v>9.5049999999999996E-2</v>
      </c>
      <c r="L80" s="1208"/>
      <c r="M80" s="1217">
        <f>-1*Carbon_per_kBtu_Electricity</f>
        <v>-0.11330763094921563</v>
      </c>
      <c r="N80" s="1217">
        <f>-1*Carbon_per_kBtu_Electricity</f>
        <v>-0.11330763094921563</v>
      </c>
      <c r="O80" s="1187"/>
      <c r="P80" s="1204"/>
      <c r="Q80" s="1"/>
      <c r="R80" s="1000"/>
      <c r="S80" s="1000"/>
      <c r="T80" s="335"/>
      <c r="U80" s="1127"/>
      <c r="V80" s="1088"/>
      <c r="W80" s="1"/>
      <c r="X80" s="1"/>
      <c r="Y80" s="1"/>
      <c r="Z80" s="1"/>
      <c r="AA80" s="1"/>
      <c r="AB80" s="1"/>
      <c r="AC80" s="1"/>
      <c r="AD80" s="1"/>
      <c r="AE80" s="1"/>
      <c r="AF80" s="1"/>
      <c r="AG80" s="1"/>
      <c r="AH80" s="1"/>
      <c r="AI80" s="1"/>
      <c r="AJ80" s="1"/>
      <c r="AK80" s="1"/>
      <c r="AL80" s="1"/>
      <c r="AM80" s="1"/>
      <c r="AN80" s="1"/>
      <c r="AO80" s="1"/>
    </row>
    <row r="81" spans="1:41" s="743" customFormat="1" ht="13" x14ac:dyDescent="0.3">
      <c r="A81" s="1"/>
      <c r="B81" s="753"/>
      <c r="C81" s="1"/>
      <c r="D81" s="775"/>
      <c r="E81" s="1212"/>
      <c r="F81" s="1215" t="s">
        <v>1086</v>
      </c>
      <c r="G81" s="1214">
        <f>IFERROR(78:78*80:80,"")</f>
        <v>0</v>
      </c>
      <c r="H81" s="1214">
        <f t="shared" ref="H81:M81" si="9">IFERROR(78:78*80:80,"")</f>
        <v>0</v>
      </c>
      <c r="I81" s="1214">
        <f t="shared" si="9"/>
        <v>0</v>
      </c>
      <c r="J81" s="1214">
        <f t="shared" si="9"/>
        <v>0</v>
      </c>
      <c r="K81" s="1214">
        <f t="shared" si="9"/>
        <v>0</v>
      </c>
      <c r="L81" s="1214"/>
      <c r="M81" s="1214">
        <f t="shared" si="9"/>
        <v>0</v>
      </c>
      <c r="N81" s="1214">
        <f>IFERROR(78:78*80:80,"")</f>
        <v>0</v>
      </c>
      <c r="O81" s="1187"/>
      <c r="P81" s="1204"/>
      <c r="Q81" s="1"/>
      <c r="R81" s="1000"/>
      <c r="S81" s="1000"/>
      <c r="T81" s="335"/>
      <c r="U81" s="1127"/>
      <c r="V81" s="1088"/>
      <c r="W81" s="1"/>
      <c r="X81" s="1"/>
      <c r="Y81" s="1"/>
      <c r="Z81" s="1"/>
      <c r="AA81" s="1"/>
      <c r="AB81" s="1"/>
      <c r="AC81" s="1"/>
      <c r="AD81" s="1"/>
      <c r="AE81" s="1"/>
      <c r="AF81" s="1"/>
      <c r="AG81" s="1"/>
      <c r="AH81" s="1"/>
      <c r="AI81" s="1"/>
      <c r="AJ81" s="1"/>
      <c r="AK81" s="1"/>
      <c r="AL81" s="1"/>
      <c r="AM81" s="1"/>
      <c r="AN81" s="1"/>
      <c r="AO81" s="1"/>
    </row>
    <row r="82" spans="1:41" s="743" customFormat="1" ht="13" x14ac:dyDescent="0.3">
      <c r="A82" s="1"/>
      <c r="B82" s="753"/>
      <c r="C82" s="1"/>
      <c r="D82" s="775"/>
      <c r="E82" s="1212"/>
      <c r="F82" s="874"/>
      <c r="G82" s="1218"/>
      <c r="H82" s="1218"/>
      <c r="I82" s="1218"/>
      <c r="J82" s="1218"/>
      <c r="K82" s="1218"/>
      <c r="L82" s="1218"/>
      <c r="M82" s="1218"/>
      <c r="N82" s="1218"/>
      <c r="O82" s="1218"/>
      <c r="P82" s="1204"/>
      <c r="Q82" s="1"/>
      <c r="R82" s="1000"/>
      <c r="S82" s="1000"/>
      <c r="T82" s="1"/>
      <c r="U82" s="1127"/>
      <c r="V82" s="1088"/>
      <c r="W82" s="1"/>
      <c r="X82" s="1"/>
      <c r="Y82" s="1"/>
      <c r="Z82" s="1"/>
      <c r="AA82" s="1"/>
      <c r="AB82" s="1"/>
      <c r="AC82" s="1"/>
      <c r="AD82" s="1"/>
      <c r="AE82" s="1"/>
      <c r="AF82" s="1"/>
      <c r="AG82" s="1"/>
      <c r="AH82" s="1"/>
      <c r="AI82" s="1"/>
      <c r="AJ82" s="1"/>
      <c r="AK82" s="1"/>
      <c r="AL82" s="1"/>
      <c r="AM82" s="1"/>
      <c r="AN82" s="1"/>
      <c r="AO82" s="1"/>
    </row>
    <row r="83" spans="1:41" s="743" customFormat="1" ht="13" x14ac:dyDescent="0.3">
      <c r="A83" s="1"/>
      <c r="B83" s="753"/>
      <c r="C83" s="1"/>
      <c r="D83" s="775"/>
      <c r="E83" s="1212"/>
      <c r="F83" s="1219" t="s">
        <v>1113</v>
      </c>
      <c r="G83" s="1220">
        <f>59:59*76:76</f>
        <v>0</v>
      </c>
      <c r="H83" s="1220">
        <f t="shared" ref="H83:K83" si="10">59:59*76:76</f>
        <v>0</v>
      </c>
      <c r="I83" s="1220">
        <f t="shared" si="10"/>
        <v>0</v>
      </c>
      <c r="J83" s="1220">
        <f t="shared" si="10"/>
        <v>0</v>
      </c>
      <c r="K83" s="1220">
        <f t="shared" si="10"/>
        <v>0</v>
      </c>
      <c r="L83" s="1220"/>
      <c r="M83" s="1220">
        <f t="shared" ref="M83:N83" si="11">59:59*76:76</f>
        <v>0</v>
      </c>
      <c r="N83" s="1220">
        <f t="shared" si="11"/>
        <v>0</v>
      </c>
      <c r="O83" s="1220"/>
      <c r="P83" s="1204"/>
      <c r="Q83" s="1"/>
      <c r="R83" s="1000"/>
      <c r="S83" s="1000"/>
      <c r="T83" s="1"/>
      <c r="U83" s="1127"/>
      <c r="V83" s="1088"/>
      <c r="W83" s="1"/>
      <c r="X83" s="1"/>
      <c r="Y83" s="1"/>
      <c r="Z83" s="1"/>
      <c r="AA83" s="1"/>
      <c r="AB83" s="1"/>
      <c r="AC83" s="1"/>
      <c r="AD83" s="1"/>
      <c r="AE83" s="1"/>
      <c r="AF83" s="1"/>
      <c r="AG83" s="1"/>
      <c r="AH83" s="1"/>
      <c r="AI83" s="1"/>
      <c r="AJ83" s="1"/>
      <c r="AK83" s="1"/>
      <c r="AL83" s="1"/>
      <c r="AM83" s="1"/>
      <c r="AN83" s="1"/>
      <c r="AO83" s="1"/>
    </row>
    <row r="84" spans="1:41" s="743" customFormat="1" ht="13" x14ac:dyDescent="0.3">
      <c r="A84" s="1"/>
      <c r="B84" s="753"/>
      <c r="C84" s="1"/>
      <c r="D84" s="1221"/>
      <c r="E84" s="1191"/>
      <c r="F84" s="1222"/>
      <c r="G84" s="1223"/>
      <c r="H84" s="1223"/>
      <c r="I84" s="1223"/>
      <c r="J84" s="1223"/>
      <c r="K84" s="1223"/>
      <c r="L84" s="1223"/>
      <c r="M84" s="1223"/>
      <c r="N84" s="1223"/>
      <c r="O84" s="1223"/>
      <c r="P84" s="1224"/>
      <c r="Q84" s="1"/>
      <c r="R84" s="1000"/>
      <c r="S84" s="1000"/>
      <c r="T84" s="335"/>
      <c r="U84" s="1127"/>
      <c r="V84" s="1088"/>
      <c r="W84" s="1"/>
      <c r="X84" s="1"/>
      <c r="Y84" s="1"/>
      <c r="Z84" s="1"/>
      <c r="AA84" s="1"/>
      <c r="AB84" s="1"/>
      <c r="AC84" s="1"/>
      <c r="AD84" s="1"/>
      <c r="AE84" s="1"/>
      <c r="AF84" s="1"/>
      <c r="AG84" s="1"/>
      <c r="AH84" s="1"/>
      <c r="AI84" s="1"/>
      <c r="AJ84" s="1"/>
      <c r="AK84" s="1"/>
      <c r="AL84" s="1"/>
      <c r="AM84" s="1"/>
      <c r="AN84" s="1"/>
      <c r="AO84" s="1"/>
    </row>
    <row r="85" spans="1:41" s="743" customFormat="1" ht="13" x14ac:dyDescent="0.3">
      <c r="A85" s="1"/>
      <c r="B85" s="8"/>
      <c r="C85" s="1"/>
      <c r="D85" s="1"/>
      <c r="E85" s="1"/>
      <c r="F85" s="1"/>
      <c r="G85" s="1"/>
      <c r="H85" s="1"/>
      <c r="I85" s="1"/>
      <c r="J85" s="1"/>
      <c r="K85" s="1"/>
      <c r="L85" s="1"/>
      <c r="M85" s="1"/>
      <c r="N85" s="1"/>
      <c r="O85" s="1"/>
      <c r="P85" s="1"/>
      <c r="Q85" s="1"/>
      <c r="R85" s="335"/>
      <c r="S85" s="335"/>
      <c r="T85" s="335"/>
      <c r="U85" s="335"/>
      <c r="V85" s="335"/>
      <c r="W85" s="1"/>
      <c r="X85" s="1"/>
      <c r="Y85" s="1"/>
      <c r="Z85" s="1"/>
      <c r="AA85" s="1"/>
      <c r="AB85" s="1"/>
      <c r="AC85" s="1"/>
      <c r="AD85" s="1"/>
      <c r="AE85" s="1"/>
      <c r="AF85" s="1"/>
      <c r="AG85" s="1"/>
      <c r="AH85" s="1"/>
      <c r="AI85" s="1"/>
      <c r="AJ85" s="1"/>
      <c r="AK85" s="1"/>
      <c r="AL85" s="1"/>
      <c r="AM85" s="1"/>
      <c r="AN85" s="1"/>
      <c r="AO85" s="1"/>
    </row>
    <row r="86" spans="1:41" s="743" customFormat="1" ht="13" x14ac:dyDescent="0.3">
      <c r="A86" s="1"/>
      <c r="B86" s="1770" t="s">
        <v>1258</v>
      </c>
      <c r="C86" s="1"/>
      <c r="D86" s="1771" t="s">
        <v>1095</v>
      </c>
      <c r="E86" s="1772"/>
      <c r="F86" s="1772"/>
      <c r="G86" s="1772"/>
      <c r="H86" s="1772"/>
      <c r="I86" s="1772"/>
      <c r="J86" s="1772"/>
      <c r="K86" s="1772"/>
      <c r="L86" s="1772"/>
      <c r="M86" s="1772"/>
      <c r="N86" s="1772"/>
      <c r="O86" s="1772"/>
      <c r="P86" s="1773"/>
      <c r="Q86" s="1225"/>
      <c r="R86" s="1744" t="s">
        <v>944</v>
      </c>
      <c r="S86" s="1744"/>
      <c r="T86" s="1"/>
      <c r="U86" s="842"/>
      <c r="V86" s="842"/>
      <c r="W86" s="1"/>
      <c r="X86" s="1"/>
      <c r="Y86" s="1"/>
      <c r="Z86" s="1"/>
      <c r="AA86" s="1"/>
      <c r="AB86" s="1"/>
      <c r="AC86" s="1"/>
      <c r="AD86" s="1"/>
      <c r="AE86" s="1"/>
      <c r="AF86" s="1"/>
      <c r="AG86" s="1"/>
      <c r="AH86" s="1"/>
      <c r="AI86" s="1"/>
      <c r="AJ86" s="1"/>
      <c r="AK86" s="1"/>
      <c r="AL86" s="1"/>
      <c r="AM86" s="1"/>
      <c r="AN86" s="1"/>
      <c r="AO86" s="1"/>
    </row>
    <row r="87" spans="1:41" s="743" customFormat="1" ht="13" x14ac:dyDescent="0.3">
      <c r="A87" s="1"/>
      <c r="B87" s="1770"/>
      <c r="C87" s="1227"/>
      <c r="D87" s="1228"/>
      <c r="E87" s="997"/>
      <c r="F87" s="997"/>
      <c r="G87" s="998"/>
      <c r="H87" s="998"/>
      <c r="I87" s="998"/>
      <c r="J87" s="998"/>
      <c r="K87" s="998"/>
      <c r="L87" s="998"/>
      <c r="M87" s="998"/>
      <c r="N87" s="998"/>
      <c r="O87" s="998"/>
      <c r="P87" s="999"/>
      <c r="Q87" s="1229"/>
      <c r="R87" s="1744"/>
      <c r="S87" s="1744"/>
      <c r="T87" s="1"/>
      <c r="U87" s="808"/>
      <c r="V87" s="808"/>
      <c r="W87" s="1"/>
      <c r="X87" s="1"/>
      <c r="Y87" s="1"/>
      <c r="Z87" s="1"/>
      <c r="AA87" s="1"/>
      <c r="AB87" s="1"/>
      <c r="AC87" s="1"/>
      <c r="AD87" s="1"/>
      <c r="AE87" s="1"/>
      <c r="AF87" s="1"/>
      <c r="AG87" s="1"/>
      <c r="AH87" s="1"/>
      <c r="AI87" s="1"/>
      <c r="AJ87" s="1"/>
      <c r="AK87" s="1"/>
      <c r="AL87" s="1"/>
      <c r="AM87" s="1"/>
      <c r="AN87" s="1"/>
      <c r="AO87" s="1"/>
    </row>
    <row r="88" spans="1:41" s="743" customFormat="1" ht="13" x14ac:dyDescent="0.3">
      <c r="A88" s="1"/>
      <c r="B88" s="1770"/>
      <c r="C88" s="1227"/>
      <c r="D88" s="821"/>
      <c r="E88" s="1230"/>
      <c r="F88" s="1231" t="s">
        <v>1109</v>
      </c>
      <c r="G88" s="981" t="s">
        <v>252</v>
      </c>
      <c r="H88" s="981" t="s">
        <v>251</v>
      </c>
      <c r="I88" s="970"/>
      <c r="J88" s="839"/>
      <c r="K88" s="821"/>
      <c r="L88" s="919" t="s">
        <v>1253</v>
      </c>
      <c r="M88" s="981" t="s">
        <v>252</v>
      </c>
      <c r="N88" s="981" t="s">
        <v>251</v>
      </c>
      <c r="O88" s="981"/>
      <c r="P88" s="1232"/>
      <c r="Q88" s="28"/>
      <c r="R88" s="1744"/>
      <c r="S88" s="1744"/>
      <c r="T88" s="1"/>
      <c r="U88" s="808"/>
      <c r="V88" s="808"/>
      <c r="W88" s="1"/>
      <c r="X88" s="1"/>
      <c r="Y88" s="1"/>
      <c r="Z88" s="1"/>
      <c r="AA88" s="1"/>
      <c r="AB88" s="1"/>
      <c r="AC88" s="1"/>
      <c r="AD88" s="1"/>
      <c r="AE88" s="1"/>
      <c r="AF88" s="1"/>
      <c r="AG88" s="1"/>
      <c r="AH88" s="1"/>
      <c r="AI88" s="1"/>
      <c r="AJ88" s="1"/>
      <c r="AK88" s="1"/>
      <c r="AL88" s="1"/>
      <c r="AM88" s="1"/>
      <c r="AN88" s="1"/>
      <c r="AO88" s="1"/>
    </row>
    <row r="89" spans="1:41" s="743" customFormat="1" ht="15" x14ac:dyDescent="0.3">
      <c r="A89" s="1"/>
      <c r="B89" s="1770"/>
      <c r="C89" s="1227"/>
      <c r="D89" s="583"/>
      <c r="E89" s="833"/>
      <c r="F89" s="1233" t="s">
        <v>551</v>
      </c>
      <c r="G89" s="986" cm="1">
        <f t="array" ref="G89">_xlfn.IFS(J17="No",G45,J19="Gross Metered",G45,J19="",0,J19="Net Metered",(G45+(M45-N45)))</f>
        <v>0</v>
      </c>
      <c r="H89" s="986">
        <f>G78</f>
        <v>0</v>
      </c>
      <c r="I89" s="345" t="s">
        <v>774</v>
      </c>
      <c r="J89" s="821"/>
      <c r="K89" s="515"/>
      <c r="L89" s="1233" t="s">
        <v>551</v>
      </c>
      <c r="M89" s="986">
        <f>IF($J$19="Net Metered", (G48+(M48-N48)),G48)</f>
        <v>0</v>
      </c>
      <c r="N89" s="986">
        <f>G81</f>
        <v>0</v>
      </c>
      <c r="O89" s="345" t="s">
        <v>773</v>
      </c>
      <c r="P89" s="1232"/>
      <c r="Q89" s="28"/>
      <c r="R89" s="808"/>
      <c r="S89" s="808"/>
      <c r="T89" s="1"/>
      <c r="U89" s="808"/>
      <c r="V89" s="808"/>
      <c r="W89" s="1"/>
      <c r="X89" s="1"/>
      <c r="Y89" s="1"/>
      <c r="Z89" s="1"/>
      <c r="AA89" s="1"/>
      <c r="AB89" s="1"/>
      <c r="AC89" s="1"/>
      <c r="AD89" s="1"/>
      <c r="AE89" s="1"/>
      <c r="AF89" s="1"/>
      <c r="AG89" s="1"/>
      <c r="AH89" s="1"/>
      <c r="AI89" s="1"/>
      <c r="AJ89" s="1"/>
      <c r="AK89" s="1"/>
      <c r="AL89" s="1"/>
      <c r="AM89" s="1"/>
      <c r="AN89" s="1"/>
      <c r="AO89" s="1"/>
    </row>
    <row r="90" spans="1:41" s="743" customFormat="1" ht="15" x14ac:dyDescent="0.3">
      <c r="A90" s="1"/>
      <c r="B90" s="1770"/>
      <c r="C90" s="1"/>
      <c r="D90" s="1234"/>
      <c r="E90" s="839"/>
      <c r="F90" s="1235" t="s">
        <v>1079</v>
      </c>
      <c r="G90" s="970">
        <f>SUM(H45:K45)</f>
        <v>0</v>
      </c>
      <c r="H90" s="970">
        <f>SUM(H78:K78)</f>
        <v>0</v>
      </c>
      <c r="I90" s="528" t="s">
        <v>774</v>
      </c>
      <c r="J90" s="821"/>
      <c r="K90" s="526"/>
      <c r="L90" s="1236" t="s">
        <v>1255</v>
      </c>
      <c r="M90" s="970">
        <f>SUM(H48:K48)</f>
        <v>0</v>
      </c>
      <c r="N90" s="970">
        <f>SUM(H81:K81)</f>
        <v>0</v>
      </c>
      <c r="O90" s="528" t="s">
        <v>773</v>
      </c>
      <c r="P90" s="1232"/>
      <c r="Q90" s="28"/>
      <c r="R90" s="808"/>
      <c r="S90" s="808"/>
      <c r="T90" s="1"/>
      <c r="U90" s="808"/>
      <c r="V90" s="808"/>
      <c r="W90" s="1"/>
      <c r="X90" s="1"/>
      <c r="Y90" s="1"/>
      <c r="Z90" s="1"/>
      <c r="AA90" s="1"/>
      <c r="AB90" s="1"/>
      <c r="AC90" s="1"/>
      <c r="AD90" s="1"/>
      <c r="AE90" s="1"/>
      <c r="AF90" s="1"/>
      <c r="AG90" s="1"/>
      <c r="AH90" s="1"/>
      <c r="AI90" s="1"/>
      <c r="AJ90" s="1"/>
      <c r="AK90" s="1"/>
      <c r="AL90" s="1"/>
      <c r="AM90" s="1"/>
      <c r="AN90" s="1"/>
      <c r="AO90" s="1"/>
    </row>
    <row r="91" spans="1:41" s="743" customFormat="1" ht="15" x14ac:dyDescent="0.3">
      <c r="A91" s="1"/>
      <c r="B91" s="1770"/>
      <c r="C91" s="1"/>
      <c r="D91" s="1234"/>
      <c r="E91" s="821"/>
      <c r="F91" s="1150" t="s">
        <v>1259</v>
      </c>
      <c r="G91" s="1237">
        <f>SUM(G89:G90)</f>
        <v>0</v>
      </c>
      <c r="H91" s="1237">
        <f>SUM(H89:H90)</f>
        <v>0</v>
      </c>
      <c r="I91" s="345" t="s">
        <v>774</v>
      </c>
      <c r="J91" s="821"/>
      <c r="K91" s="821"/>
      <c r="L91" s="833" t="s">
        <v>1251</v>
      </c>
      <c r="M91" s="1238">
        <f>SUM(M89:M90)</f>
        <v>0</v>
      </c>
      <c r="N91" s="1238">
        <f>SUM(N89:N90)</f>
        <v>0</v>
      </c>
      <c r="O91" s="1575" t="s">
        <v>773</v>
      </c>
      <c r="P91" s="813"/>
      <c r="Q91" s="1239"/>
      <c r="R91" s="808"/>
      <c r="S91" s="808"/>
      <c r="T91" s="1"/>
      <c r="U91" s="808"/>
      <c r="V91" s="808"/>
      <c r="W91" s="1"/>
      <c r="X91" s="1"/>
      <c r="Y91" s="1"/>
      <c r="Z91" s="1"/>
      <c r="AA91" s="1"/>
      <c r="AB91" s="1"/>
      <c r="AC91" s="1"/>
      <c r="AD91" s="1"/>
      <c r="AE91" s="1"/>
      <c r="AF91" s="1"/>
      <c r="AG91" s="1"/>
      <c r="AH91" s="1"/>
      <c r="AI91" s="1"/>
      <c r="AJ91" s="1"/>
      <c r="AK91" s="1"/>
      <c r="AL91" s="1"/>
      <c r="AM91" s="1"/>
      <c r="AN91" s="1"/>
      <c r="AO91" s="1"/>
    </row>
    <row r="92" spans="1:41" s="743" customFormat="1" ht="13.5" thickBot="1" x14ac:dyDescent="0.35">
      <c r="A92" s="1"/>
      <c r="B92" s="1770"/>
      <c r="C92" s="1"/>
      <c r="D92" s="1234"/>
      <c r="E92" s="821"/>
      <c r="F92" s="1150"/>
      <c r="G92" s="1237"/>
      <c r="H92" s="1237"/>
      <c r="I92" s="345"/>
      <c r="J92" s="821"/>
      <c r="K92" s="821"/>
      <c r="L92" s="821"/>
      <c r="M92" s="821"/>
      <c r="N92" s="821"/>
      <c r="O92" s="850"/>
      <c r="P92" s="813"/>
      <c r="Q92" s="1239"/>
      <c r="R92" s="808"/>
      <c r="S92" s="808"/>
      <c r="T92" s="1"/>
      <c r="U92" s="808"/>
      <c r="V92" s="808"/>
      <c r="W92" s="1"/>
      <c r="X92" s="1"/>
      <c r="Y92" s="1"/>
      <c r="Z92" s="1"/>
      <c r="AA92" s="1"/>
      <c r="AB92" s="1"/>
      <c r="AC92" s="1"/>
      <c r="AD92" s="1"/>
      <c r="AE92" s="1"/>
      <c r="AF92" s="1"/>
      <c r="AG92" s="1"/>
      <c r="AH92" s="1"/>
      <c r="AI92" s="1"/>
      <c r="AJ92" s="1"/>
      <c r="AK92" s="1"/>
      <c r="AL92" s="1"/>
      <c r="AM92" s="1"/>
      <c r="AN92" s="1"/>
      <c r="AO92" s="1"/>
    </row>
    <row r="93" spans="1:41" s="743" customFormat="1" ht="15.5" thickBot="1" x14ac:dyDescent="0.35">
      <c r="A93" s="1"/>
      <c r="B93" s="1770"/>
      <c r="C93" s="1"/>
      <c r="D93" s="1234"/>
      <c r="E93" s="583"/>
      <c r="F93" s="1240" t="s">
        <v>1096</v>
      </c>
      <c r="G93" s="1241">
        <f>IFERROR(Energy_Consumption_Annual_Total_Measured/Area_Building,0)</f>
        <v>0</v>
      </c>
      <c r="H93" s="1241">
        <f>IFERROR(Energy_Consumption_Annual_Total_Predicted/Area_Building,0)</f>
        <v>0</v>
      </c>
      <c r="I93" s="345" t="s">
        <v>775</v>
      </c>
      <c r="J93" s="821"/>
      <c r="K93" s="583"/>
      <c r="L93" s="816" t="s">
        <v>1249</v>
      </c>
      <c r="M93" s="1242">
        <f>IFERROR(Operational_Carbon_Annual_Total_Measured/Area_Building,0)</f>
        <v>0</v>
      </c>
      <c r="N93" s="1242">
        <f>IFERROR(Operational_Carbon_Annual_Total_Predicted/Area_Building,0)</f>
        <v>0</v>
      </c>
      <c r="O93" s="345" t="s">
        <v>1123</v>
      </c>
      <c r="P93" s="813"/>
      <c r="Q93" s="1229"/>
      <c r="R93" s="808"/>
      <c r="S93" s="808"/>
      <c r="T93" s="1"/>
      <c r="U93" s="808"/>
      <c r="V93" s="808"/>
      <c r="W93" s="1"/>
      <c r="X93" s="1"/>
      <c r="Y93" s="1"/>
      <c r="Z93" s="1"/>
      <c r="AA93" s="1"/>
      <c r="AB93" s="1"/>
      <c r="AC93" s="1"/>
      <c r="AD93" s="1"/>
      <c r="AE93" s="1"/>
      <c r="AF93" s="1"/>
      <c r="AG93" s="1"/>
      <c r="AH93" s="1"/>
      <c r="AI93" s="1"/>
      <c r="AJ93" s="1"/>
      <c r="AK93" s="1"/>
      <c r="AL93" s="1"/>
      <c r="AM93" s="1"/>
      <c r="AN93" s="1"/>
      <c r="AO93" s="1"/>
    </row>
    <row r="94" spans="1:41" s="743" customFormat="1" ht="15" x14ac:dyDescent="0.3">
      <c r="A94" s="1"/>
      <c r="B94" s="1770"/>
      <c r="C94" s="1"/>
      <c r="D94" s="1234"/>
      <c r="E94" s="821"/>
      <c r="F94" s="344"/>
      <c r="G94" s="984"/>
      <c r="H94" s="986"/>
      <c r="I94" s="345"/>
      <c r="J94" s="821"/>
      <c r="K94" s="821"/>
      <c r="L94" s="821"/>
      <c r="M94" s="984">
        <f>IFERROR(Operational_Carbon_Annual_Total_Measured/(Area_Building*0.09290304),0)</f>
        <v>0</v>
      </c>
      <c r="N94" s="984">
        <f>IFERROR(Operational_Carbon_Annual_Total_Predicted/(Area_Building*0.09290304),0)</f>
        <v>0</v>
      </c>
      <c r="O94" s="345" t="s">
        <v>1248</v>
      </c>
      <c r="P94" s="1232"/>
      <c r="Q94" s="28"/>
      <c r="R94" s="808"/>
      <c r="S94" s="808"/>
      <c r="T94" s="1"/>
      <c r="U94" s="808"/>
      <c r="V94" s="808"/>
      <c r="W94" s="1"/>
      <c r="X94" s="1"/>
      <c r="Y94" s="1"/>
      <c r="Z94" s="1"/>
      <c r="AA94" s="1"/>
      <c r="AB94" s="1"/>
      <c r="AC94" s="1"/>
      <c r="AD94" s="1"/>
      <c r="AE94" s="1"/>
      <c r="AF94" s="1"/>
      <c r="AG94" s="1"/>
      <c r="AH94" s="1"/>
      <c r="AI94" s="1"/>
      <c r="AJ94" s="1"/>
      <c r="AK94" s="1"/>
      <c r="AL94" s="1"/>
      <c r="AM94" s="1"/>
      <c r="AN94" s="1"/>
      <c r="AO94" s="1"/>
    </row>
    <row r="95" spans="1:41" s="743" customFormat="1" ht="13" x14ac:dyDescent="0.3">
      <c r="A95" s="1"/>
      <c r="B95" s="1770"/>
      <c r="C95" s="1"/>
      <c r="D95" s="1234"/>
      <c r="E95" s="821"/>
      <c r="F95" s="344"/>
      <c r="G95" s="984"/>
      <c r="H95" s="986"/>
      <c r="I95" s="345"/>
      <c r="J95" s="821"/>
      <c r="K95" s="821"/>
      <c r="L95" s="821"/>
      <c r="M95" s="821"/>
      <c r="N95" s="821"/>
      <c r="O95" s="821"/>
      <c r="P95" s="1232"/>
      <c r="Q95" s="28"/>
      <c r="R95" s="808"/>
      <c r="S95" s="808"/>
      <c r="T95" s="1"/>
      <c r="U95" s="808"/>
      <c r="V95" s="808"/>
      <c r="W95" s="1"/>
      <c r="X95" s="1"/>
      <c r="Y95" s="1"/>
      <c r="Z95" s="1"/>
      <c r="AA95" s="1"/>
      <c r="AB95" s="1"/>
      <c r="AC95" s="1"/>
      <c r="AD95" s="1"/>
      <c r="AE95" s="1"/>
      <c r="AF95" s="1"/>
      <c r="AG95" s="1"/>
      <c r="AH95" s="1"/>
      <c r="AI95" s="1"/>
      <c r="AJ95" s="1"/>
      <c r="AK95" s="1"/>
      <c r="AL95" s="1"/>
      <c r="AM95" s="1"/>
      <c r="AN95" s="1"/>
      <c r="AO95" s="1"/>
    </row>
    <row r="96" spans="1:41" s="743" customFormat="1" ht="13" x14ac:dyDescent="0.3">
      <c r="A96" s="1"/>
      <c r="B96" s="1770"/>
      <c r="C96" s="1"/>
      <c r="D96" s="1234"/>
      <c r="E96" s="1230"/>
      <c r="F96" s="1231" t="s">
        <v>1110</v>
      </c>
      <c r="G96" s="1243"/>
      <c r="H96" s="1243"/>
      <c r="I96" s="1244"/>
      <c r="J96" s="1572"/>
      <c r="K96" s="839"/>
      <c r="L96" s="919" t="s">
        <v>1254</v>
      </c>
      <c r="M96" s="839"/>
      <c r="N96" s="839"/>
      <c r="O96" s="839"/>
      <c r="P96" s="1232"/>
      <c r="Q96" s="28"/>
      <c r="R96" s="808"/>
      <c r="S96" s="1226"/>
      <c r="T96" s="1"/>
      <c r="U96" s="808"/>
      <c r="V96" s="808"/>
      <c r="W96" s="1"/>
      <c r="X96" s="1"/>
      <c r="Y96" s="1"/>
      <c r="Z96" s="1"/>
      <c r="AA96" s="1"/>
      <c r="AB96" s="1"/>
      <c r="AC96" s="1"/>
      <c r="AD96" s="1"/>
      <c r="AE96" s="1"/>
      <c r="AF96" s="1"/>
      <c r="AG96" s="1"/>
      <c r="AH96" s="1"/>
      <c r="AI96" s="1"/>
      <c r="AJ96" s="1"/>
      <c r="AK96" s="1"/>
      <c r="AL96" s="1"/>
      <c r="AM96" s="1"/>
      <c r="AN96" s="1"/>
      <c r="AO96" s="1"/>
    </row>
    <row r="97" spans="1:41" s="743" customFormat="1" ht="15" x14ac:dyDescent="0.3">
      <c r="A97" s="1"/>
      <c r="B97" s="1770"/>
      <c r="C97" s="1"/>
      <c r="D97" s="1234"/>
      <c r="E97" s="821"/>
      <c r="F97" s="1233" t="s">
        <v>1080</v>
      </c>
      <c r="G97" s="1247">
        <f>M45</f>
        <v>0</v>
      </c>
      <c r="H97" s="1247">
        <f>M78</f>
        <v>0</v>
      </c>
      <c r="I97" s="345" t="s">
        <v>774</v>
      </c>
      <c r="J97" s="821"/>
      <c r="K97" s="821"/>
      <c r="L97" s="1233" t="s">
        <v>1080</v>
      </c>
      <c r="M97" s="1247">
        <f>M48</f>
        <v>0</v>
      </c>
      <c r="N97" s="1247">
        <f>M81</f>
        <v>0</v>
      </c>
      <c r="O97" s="345" t="s">
        <v>773</v>
      </c>
      <c r="P97" s="813"/>
      <c r="Q97" s="1229"/>
      <c r="R97" s="1226"/>
      <c r="S97" s="1226"/>
      <c r="T97" s="1"/>
      <c r="U97" s="808"/>
      <c r="V97" s="808"/>
      <c r="W97" s="1"/>
      <c r="X97" s="1"/>
      <c r="Y97" s="1"/>
      <c r="Z97" s="1"/>
      <c r="AA97" s="1"/>
      <c r="AB97" s="1"/>
      <c r="AC97" s="1"/>
      <c r="AD97" s="1"/>
      <c r="AE97" s="1"/>
      <c r="AF97" s="1"/>
      <c r="AG97" s="1"/>
      <c r="AH97" s="1"/>
      <c r="AI97" s="1"/>
      <c r="AJ97" s="1"/>
      <c r="AK97" s="1"/>
      <c r="AL97" s="1"/>
      <c r="AM97" s="1"/>
      <c r="AN97" s="1"/>
      <c r="AO97" s="1"/>
    </row>
    <row r="98" spans="1:41" s="743" customFormat="1" ht="15" x14ac:dyDescent="0.3">
      <c r="A98" s="1"/>
      <c r="B98" s="1770"/>
      <c r="C98" s="1"/>
      <c r="D98" s="1234"/>
      <c r="E98" s="839"/>
      <c r="F98" s="1235" t="s">
        <v>1081</v>
      </c>
      <c r="G98" s="1248">
        <f>O45</f>
        <v>0</v>
      </c>
      <c r="H98" s="1248">
        <f>N78</f>
        <v>0</v>
      </c>
      <c r="I98" s="528" t="s">
        <v>774</v>
      </c>
      <c r="J98" s="821"/>
      <c r="K98" s="839"/>
      <c r="L98" s="1235" t="s">
        <v>1081</v>
      </c>
      <c r="M98" s="1248">
        <f>O48</f>
        <v>0</v>
      </c>
      <c r="N98" s="1248">
        <f>N81</f>
        <v>0</v>
      </c>
      <c r="O98" s="1571" t="s">
        <v>773</v>
      </c>
      <c r="P98" s="813"/>
      <c r="Q98" s="1229"/>
      <c r="R98" s="808"/>
      <c r="S98" s="808"/>
      <c r="T98" s="1"/>
      <c r="U98" s="808"/>
      <c r="V98" s="808"/>
      <c r="W98" s="1"/>
      <c r="X98" s="1"/>
      <c r="Y98" s="1"/>
      <c r="Z98" s="1"/>
      <c r="AA98" s="1"/>
      <c r="AB98" s="1"/>
      <c r="AC98" s="1"/>
      <c r="AD98" s="1"/>
      <c r="AE98" s="1"/>
      <c r="AF98" s="1"/>
      <c r="AG98" s="1"/>
      <c r="AH98" s="1"/>
      <c r="AI98" s="1"/>
      <c r="AJ98" s="1"/>
      <c r="AK98" s="1"/>
      <c r="AL98" s="1"/>
      <c r="AM98" s="1"/>
      <c r="AN98" s="1"/>
      <c r="AO98" s="1"/>
    </row>
    <row r="99" spans="1:41" s="743" customFormat="1" ht="15" x14ac:dyDescent="0.3">
      <c r="A99" s="1"/>
      <c r="B99" s="1770"/>
      <c r="C99" s="1"/>
      <c r="D99" s="1234"/>
      <c r="E99" s="821"/>
      <c r="F99" s="1150" t="s">
        <v>1260</v>
      </c>
      <c r="G99" s="1237">
        <f>IFERROR(Energy_Onsite_Generation_Annual_Total_Measured+Energy_Offsite_Generation_Annual_Total_Measured,"")</f>
        <v>0</v>
      </c>
      <c r="H99" s="1237">
        <f>IFERROR(Energy_Onsite_Generation_Annual_Total_Predicted+Energy_Offsite_Generation_Annual_Total_Predicted,"")</f>
        <v>0</v>
      </c>
      <c r="I99" s="345" t="s">
        <v>774</v>
      </c>
      <c r="J99" s="821"/>
      <c r="K99" s="821"/>
      <c r="L99" s="825" t="s">
        <v>1252</v>
      </c>
      <c r="M99" s="1238">
        <f>SUM(M97:M98)</f>
        <v>0</v>
      </c>
      <c r="N99" s="1238">
        <f>SUM(N97:N98)</f>
        <v>0</v>
      </c>
      <c r="O99" s="1575" t="s">
        <v>773</v>
      </c>
      <c r="P99" s="813"/>
      <c r="Q99" s="1229"/>
      <c r="R99" s="808"/>
      <c r="S99" s="808"/>
      <c r="T99" s="1"/>
      <c r="U99" s="808"/>
      <c r="V99" s="808"/>
      <c r="W99" s="1"/>
      <c r="X99" s="1"/>
      <c r="Y99" s="1"/>
      <c r="Z99" s="1"/>
      <c r="AA99" s="1"/>
      <c r="AB99" s="1"/>
      <c r="AC99" s="1"/>
      <c r="AD99" s="1"/>
      <c r="AE99" s="1"/>
      <c r="AF99" s="1"/>
      <c r="AG99" s="1"/>
      <c r="AH99" s="1"/>
      <c r="AI99" s="1"/>
      <c r="AJ99" s="1"/>
      <c r="AK99" s="1"/>
      <c r="AL99" s="1"/>
      <c r="AM99" s="1"/>
      <c r="AN99" s="1"/>
      <c r="AO99" s="1"/>
    </row>
    <row r="100" spans="1:41" s="743" customFormat="1" ht="13.5" thickBot="1" x14ac:dyDescent="0.35">
      <c r="A100" s="1"/>
      <c r="B100" s="1770"/>
      <c r="C100" s="1"/>
      <c r="D100" s="1234"/>
      <c r="E100" s="583"/>
      <c r="F100" s="821"/>
      <c r="G100" s="821"/>
      <c r="H100" s="821"/>
      <c r="I100" s="821"/>
      <c r="J100" s="821"/>
      <c r="K100" s="821"/>
      <c r="L100" s="821"/>
      <c r="M100" s="821"/>
      <c r="N100" s="821"/>
      <c r="O100" s="850"/>
      <c r="P100" s="813"/>
      <c r="Q100" s="1229"/>
      <c r="R100" s="808"/>
      <c r="S100" s="808"/>
      <c r="T100" s="1"/>
      <c r="U100" s="808"/>
      <c r="V100" s="808"/>
      <c r="W100" s="1"/>
      <c r="X100" s="1"/>
      <c r="Y100" s="1"/>
      <c r="Z100" s="1"/>
      <c r="AA100" s="1"/>
      <c r="AB100" s="1"/>
      <c r="AC100" s="1"/>
      <c r="AD100" s="1"/>
      <c r="AE100" s="1"/>
      <c r="AF100" s="1"/>
      <c r="AG100" s="1"/>
      <c r="AH100" s="1"/>
      <c r="AI100" s="1"/>
      <c r="AJ100" s="1"/>
      <c r="AK100" s="1"/>
      <c r="AL100" s="1"/>
      <c r="AM100" s="1"/>
      <c r="AN100" s="1"/>
      <c r="AO100" s="1"/>
    </row>
    <row r="101" spans="1:41" s="743" customFormat="1" ht="13.5" thickBot="1" x14ac:dyDescent="0.35">
      <c r="A101" s="1"/>
      <c r="B101" s="1770"/>
      <c r="C101" s="1"/>
      <c r="D101" s="1234"/>
      <c r="E101" s="583"/>
      <c r="F101" s="1250" t="s">
        <v>1256</v>
      </c>
      <c r="G101" s="1251">
        <f>Energy_Consumption_Annual_Total_Measured-Energy_Production_Annual_Total_Measured</f>
        <v>0</v>
      </c>
      <c r="H101" s="1252">
        <f>Energy_Consumption_Annual_Total_Predicted-Energy_Production_Annual_Total_Predicted</f>
        <v>0</v>
      </c>
      <c r="I101" s="345" t="s">
        <v>774</v>
      </c>
      <c r="J101" s="821"/>
      <c r="K101" s="821"/>
      <c r="L101" s="1250" t="s">
        <v>1257</v>
      </c>
      <c r="M101" s="1251">
        <f>Operational_Carbon_Annual_Total_Measured+Operational_Carbon_Annual_Total_wRenewables_Measured</f>
        <v>0</v>
      </c>
      <c r="N101" s="1252">
        <f>Operational_Carbon_Annual_Total_Predicted+Operational_Carbon_Annual_Total_wRenewables_Predicted</f>
        <v>0</v>
      </c>
      <c r="O101" s="345" t="s">
        <v>774</v>
      </c>
      <c r="P101" s="813"/>
      <c r="Q101" s="1229"/>
      <c r="R101" s="808"/>
      <c r="S101" s="808"/>
      <c r="T101" s="1"/>
      <c r="U101" s="808"/>
      <c r="V101" s="808"/>
      <c r="W101" s="1"/>
      <c r="X101" s="1"/>
      <c r="Y101" s="1"/>
      <c r="Z101" s="1"/>
      <c r="AA101" s="1"/>
      <c r="AB101" s="1"/>
      <c r="AC101" s="1"/>
      <c r="AD101" s="1"/>
      <c r="AE101" s="1"/>
      <c r="AF101" s="1"/>
      <c r="AG101" s="1"/>
      <c r="AH101" s="1"/>
      <c r="AI101" s="1"/>
      <c r="AJ101" s="1"/>
      <c r="AK101" s="1"/>
      <c r="AL101" s="1"/>
      <c r="AM101" s="1"/>
      <c r="AN101" s="1"/>
      <c r="AO101" s="1"/>
    </row>
    <row r="102" spans="1:41" s="743" customFormat="1" ht="13" x14ac:dyDescent="0.3">
      <c r="A102" s="1"/>
      <c r="B102" s="1770"/>
      <c r="C102" s="1"/>
      <c r="D102" s="1234"/>
      <c r="E102" s="583"/>
      <c r="F102" s="1144"/>
      <c r="G102" s="1253"/>
      <c r="H102" s="1253"/>
      <c r="I102" s="345"/>
      <c r="J102" s="821"/>
      <c r="K102" s="821"/>
      <c r="L102" s="821"/>
      <c r="M102" s="821"/>
      <c r="N102" s="821"/>
      <c r="O102" s="821"/>
      <c r="P102" s="813"/>
      <c r="Q102" s="1229"/>
      <c r="R102" s="808"/>
      <c r="S102" s="808"/>
      <c r="T102" s="1"/>
      <c r="U102" s="808"/>
      <c r="V102" s="808"/>
      <c r="W102" s="1"/>
      <c r="X102" s="1"/>
      <c r="Y102" s="1"/>
      <c r="Z102" s="1"/>
      <c r="AA102" s="1"/>
      <c r="AB102" s="1"/>
      <c r="AC102" s="1"/>
      <c r="AD102" s="1"/>
      <c r="AE102" s="1"/>
      <c r="AF102" s="1"/>
      <c r="AG102" s="1"/>
      <c r="AH102" s="1"/>
      <c r="AI102" s="1"/>
      <c r="AJ102" s="1"/>
      <c r="AK102" s="1"/>
      <c r="AL102" s="1"/>
      <c r="AM102" s="1"/>
      <c r="AN102" s="1"/>
      <c r="AO102" s="1"/>
    </row>
    <row r="103" spans="1:41" s="743" customFormat="1" ht="13.5" thickBot="1" x14ac:dyDescent="0.35">
      <c r="A103" s="1"/>
      <c r="B103" s="1770"/>
      <c r="C103" s="1"/>
      <c r="D103" s="1234"/>
      <c r="E103" s="1245" t="s">
        <v>1169</v>
      </c>
      <c r="F103" s="1254"/>
      <c r="G103" s="1255"/>
      <c r="H103" s="1254"/>
      <c r="I103" s="816"/>
      <c r="J103" s="821"/>
      <c r="K103" s="1245" t="s">
        <v>1107</v>
      </c>
      <c r="L103" s="1246"/>
      <c r="M103" s="821"/>
      <c r="N103" s="821"/>
      <c r="O103" s="821"/>
      <c r="P103" s="813"/>
      <c r="Q103" s="1229"/>
      <c r="R103" s="808"/>
      <c r="S103" s="808"/>
      <c r="T103" s="1"/>
      <c r="U103" s="808"/>
      <c r="V103" s="808"/>
      <c r="W103" s="1"/>
      <c r="X103" s="1"/>
      <c r="Y103" s="1"/>
      <c r="Z103" s="1"/>
      <c r="AA103" s="1"/>
      <c r="AB103" s="1"/>
      <c r="AC103" s="1"/>
      <c r="AD103" s="1"/>
      <c r="AE103" s="1"/>
      <c r="AF103" s="1"/>
      <c r="AG103" s="1"/>
      <c r="AH103" s="1"/>
      <c r="AI103" s="1"/>
      <c r="AJ103" s="1"/>
      <c r="AK103" s="1"/>
      <c r="AL103" s="1"/>
      <c r="AM103" s="1"/>
      <c r="AN103" s="1"/>
      <c r="AO103" s="1"/>
    </row>
    <row r="104" spans="1:41" s="743" customFormat="1" ht="13.5" thickBot="1" x14ac:dyDescent="0.35">
      <c r="A104" s="1"/>
      <c r="B104" s="1770"/>
      <c r="C104" s="1"/>
      <c r="D104" s="1234"/>
      <c r="E104" s="850"/>
      <c r="F104" s="344" t="s">
        <v>1170</v>
      </c>
      <c r="G104" s="1485">
        <f>IF(Energy_Consumption_Annual_Total_Measured=0,0,(Energy_Onsite_Generation_Annual_Total_Measured/Energy_Consumption_Annual_Total_Measured))</f>
        <v>0</v>
      </c>
      <c r="H104" s="1257">
        <f>IF(Energy_Consumption_Annual_Total_Predicted=0,0,(Energy_Onsite_Generation_Annual_Total_Predicted/Energy_Consumption_Annual_Total_Predicted))</f>
        <v>0</v>
      </c>
      <c r="I104" s="816"/>
      <c r="J104" s="821"/>
      <c r="K104" s="821"/>
      <c r="L104" s="344" t="s">
        <v>1097</v>
      </c>
      <c r="M104" s="311" t="str">
        <f ca="1">IFERROR(1-(Carbon_Net_Measured/Operational_Carbon_Annual_Total_Benchmark),"")</f>
        <v/>
      </c>
      <c r="N104" s="311" t="str">
        <f ca="1">IFERROR(1-(Carbon_Net_Predicted/Operational_Carbon_Annual_Total_Benchmark),"")</f>
        <v/>
      </c>
      <c r="O104" s="821"/>
      <c r="P104" s="813"/>
      <c r="Q104" s="1229"/>
      <c r="R104" s="808"/>
      <c r="S104" s="808"/>
      <c r="T104" s="1"/>
      <c r="U104" s="808"/>
      <c r="V104" s="808"/>
      <c r="W104" s="1"/>
      <c r="X104" s="1"/>
      <c r="Y104" s="1"/>
      <c r="Z104" s="1"/>
      <c r="AA104" s="1"/>
      <c r="AB104" s="1"/>
      <c r="AC104" s="1"/>
      <c r="AD104" s="1"/>
      <c r="AE104" s="1"/>
      <c r="AF104" s="1"/>
      <c r="AG104" s="1"/>
      <c r="AH104" s="1"/>
      <c r="AI104" s="1"/>
      <c r="AJ104" s="1"/>
      <c r="AK104" s="1"/>
      <c r="AL104" s="1"/>
      <c r="AM104" s="1"/>
      <c r="AN104" s="1"/>
      <c r="AO104" s="1"/>
    </row>
    <row r="105" spans="1:41" s="743" customFormat="1" ht="13.5" thickBot="1" x14ac:dyDescent="0.35">
      <c r="A105" s="1"/>
      <c r="B105" s="1770"/>
      <c r="C105" s="1"/>
      <c r="D105" s="1234"/>
      <c r="E105" s="583"/>
      <c r="F105" s="344" t="s">
        <v>1171</v>
      </c>
      <c r="G105" s="1256">
        <f>IF(Energy_Consumption_Annual_Total_Measured=0,0,(Energy_Offsite_Generation_Annual_Total_Measured/Energy_Consumption_Annual_Total_Measured))</f>
        <v>0</v>
      </c>
      <c r="H105" s="1257">
        <f>IF(Energy_Consumption_Annual_Total_Predicted=0,0,(Energy_Offsite_Generation_Annual_Total_Predicted/Energy_Consumption_Annual_Total_Predicted))</f>
        <v>0</v>
      </c>
      <c r="I105" s="821"/>
      <c r="J105" s="821"/>
      <c r="K105" s="821"/>
      <c r="L105" s="344" t="s">
        <v>1098</v>
      </c>
      <c r="M105" s="311">
        <f>IF(Operational_Carbon_Annual_Total_Measured=0,0,(1-(Operational_Carbon_Annual_Total_Measured/Operational_Carbon_Annual_Total_Benchmark)))</f>
        <v>0</v>
      </c>
      <c r="N105" s="311">
        <f>IF(Operational_Carbon_Annual_Total_Predicted=0,0,(1-(Operational_Carbon_Annual_Total_Predicted/Operational_Carbon_Annual_Total_Benchmark)))</f>
        <v>0</v>
      </c>
      <c r="O105" s="821"/>
      <c r="P105" s="813"/>
      <c r="Q105" s="1229"/>
      <c r="R105" s="808"/>
      <c r="S105" s="808"/>
      <c r="T105" s="1"/>
      <c r="U105" s="808"/>
      <c r="V105" s="808"/>
      <c r="W105" s="1"/>
      <c r="X105" s="1"/>
      <c r="Y105" s="1"/>
      <c r="Z105" s="1"/>
      <c r="AA105" s="1"/>
      <c r="AB105" s="1"/>
      <c r="AC105" s="1"/>
      <c r="AD105" s="1"/>
      <c r="AE105" s="1"/>
      <c r="AF105" s="1"/>
      <c r="AG105" s="1"/>
      <c r="AH105" s="1"/>
      <c r="AI105" s="1"/>
      <c r="AJ105" s="1"/>
      <c r="AK105" s="1"/>
      <c r="AL105" s="1"/>
      <c r="AM105" s="1"/>
      <c r="AN105" s="1"/>
      <c r="AO105" s="1"/>
    </row>
    <row r="106" spans="1:41" s="743" customFormat="1" ht="13" x14ac:dyDescent="0.3">
      <c r="A106" s="1"/>
      <c r="B106" s="1770"/>
      <c r="C106" s="1"/>
      <c r="D106" s="1234"/>
      <c r="E106" s="583"/>
      <c r="F106" s="816"/>
      <c r="G106" s="821"/>
      <c r="H106" s="821"/>
      <c r="I106" s="821"/>
      <c r="J106" s="821"/>
      <c r="K106" s="821"/>
      <c r="L106" s="821"/>
      <c r="M106" s="821"/>
      <c r="N106" s="821"/>
      <c r="O106" s="821"/>
      <c r="P106" s="813"/>
      <c r="Q106" s="1229"/>
      <c r="R106" s="808"/>
      <c r="S106" s="808"/>
      <c r="T106" s="1"/>
      <c r="U106" s="808"/>
      <c r="V106" s="808"/>
      <c r="W106" s="1"/>
      <c r="X106" s="1"/>
      <c r="Y106" s="1"/>
      <c r="Z106" s="1"/>
      <c r="AA106" s="1"/>
      <c r="AB106" s="1"/>
      <c r="AC106" s="1"/>
      <c r="AD106" s="1"/>
      <c r="AE106" s="1"/>
      <c r="AF106" s="1"/>
      <c r="AG106" s="1"/>
      <c r="AH106" s="1"/>
      <c r="AI106" s="1"/>
      <c r="AJ106" s="1"/>
      <c r="AK106" s="1"/>
      <c r="AL106" s="1"/>
      <c r="AM106" s="1"/>
      <c r="AN106" s="1"/>
      <c r="AO106" s="1"/>
    </row>
    <row r="107" spans="1:41" s="743" customFormat="1" ht="13.5" thickBot="1" x14ac:dyDescent="0.35">
      <c r="A107" s="1"/>
      <c r="B107" s="1770"/>
      <c r="C107" s="1"/>
      <c r="D107" s="1234"/>
      <c r="E107" s="1245" t="s">
        <v>1106</v>
      </c>
      <c r="F107" s="1254"/>
      <c r="G107" s="819"/>
      <c r="H107" s="819"/>
      <c r="I107" s="821"/>
      <c r="J107" s="821"/>
      <c r="K107" s="1245" t="s">
        <v>1112</v>
      </c>
      <c r="L107" s="1254"/>
      <c r="M107" s="1255"/>
      <c r="N107" s="1574"/>
      <c r="O107" s="978"/>
      <c r="P107" s="813"/>
      <c r="Q107" s="1229"/>
      <c r="R107" s="808"/>
      <c r="S107" s="808"/>
      <c r="T107" s="1"/>
      <c r="U107" s="808"/>
      <c r="V107" s="808"/>
      <c r="W107" s="1"/>
      <c r="X107" s="1"/>
      <c r="Y107" s="1"/>
      <c r="Z107" s="1"/>
      <c r="AA107" s="1"/>
      <c r="AB107" s="1"/>
      <c r="AC107" s="1"/>
      <c r="AD107" s="1"/>
      <c r="AE107" s="1"/>
      <c r="AF107" s="1"/>
      <c r="AG107" s="1"/>
      <c r="AH107" s="1"/>
      <c r="AI107" s="1"/>
      <c r="AJ107" s="1"/>
      <c r="AK107" s="1"/>
      <c r="AL107" s="1"/>
      <c r="AM107" s="1"/>
      <c r="AN107" s="1"/>
      <c r="AO107" s="1"/>
    </row>
    <row r="108" spans="1:41" s="743" customFormat="1" ht="13.5" thickBot="1" x14ac:dyDescent="0.35">
      <c r="A108" s="1"/>
      <c r="B108" s="1770"/>
      <c r="C108" s="1"/>
      <c r="D108" s="1234"/>
      <c r="E108" s="583"/>
      <c r="F108" s="344" t="s">
        <v>1097</v>
      </c>
      <c r="G108" s="1258">
        <f>IFERROR(IF(Energy_Net_Measured=0,0,(1-(Energy_Net_Measured/Energy_Use_Annual_Total_Benchmark))),0)</f>
        <v>0</v>
      </c>
      <c r="H108" s="1258">
        <f>IF(EUI_Net_Predicted=0,0,(1-(EUI_Net_Predicted/Energy_Use_Annual_Total_Benchmark)))</f>
        <v>0</v>
      </c>
      <c r="I108" s="816"/>
      <c r="J108" s="821"/>
      <c r="K108" s="850"/>
      <c r="L108" s="816" t="s">
        <v>1125</v>
      </c>
      <c r="M108" s="1573">
        <f>(G26*G43)+(H26*H43)+(I26*I43)+(J26*J43)+(K26*K43)+(M26*M43)+(O26*O43)</f>
        <v>0</v>
      </c>
      <c r="N108" s="1573">
        <f>G59*G76+H59*H76+I59*I76+J59*J76+K59*K76</f>
        <v>0</v>
      </c>
      <c r="O108" s="345" t="s">
        <v>776</v>
      </c>
      <c r="P108" s="813"/>
      <c r="Q108" s="1229"/>
      <c r="R108" s="808"/>
      <c r="S108" s="808"/>
      <c r="T108" s="1"/>
      <c r="U108" s="808"/>
      <c r="V108" s="808"/>
      <c r="W108" s="1"/>
      <c r="X108" s="1"/>
      <c r="Y108" s="1"/>
      <c r="Z108" s="1"/>
      <c r="AA108" s="1"/>
      <c r="AB108" s="1"/>
      <c r="AC108" s="1"/>
      <c r="AD108" s="1"/>
      <c r="AE108" s="1"/>
      <c r="AF108" s="1"/>
      <c r="AG108" s="1"/>
      <c r="AH108" s="1"/>
      <c r="AI108" s="1"/>
      <c r="AJ108" s="1"/>
      <c r="AK108" s="1"/>
      <c r="AL108" s="1"/>
      <c r="AM108" s="1"/>
      <c r="AN108" s="1"/>
      <c r="AO108" s="1"/>
    </row>
    <row r="109" spans="1:41" s="743" customFormat="1" ht="13.5" thickBot="1" x14ac:dyDescent="0.35">
      <c r="A109" s="1"/>
      <c r="B109" s="1770"/>
      <c r="C109" s="1"/>
      <c r="D109" s="1234"/>
      <c r="E109" s="583"/>
      <c r="F109" s="344" t="s">
        <v>1098</v>
      </c>
      <c r="G109" s="1258">
        <f>IF(Energy_Consumption_Annual_Total_Measured=0,0,(1-(Energy_Consumption_Annual_Total_Measured/Energy_Use_Annual_Total_Benchmark)))</f>
        <v>0</v>
      </c>
      <c r="H109" s="1258">
        <f>IF(Energy_Consumption_Annual_Total_Predicted=0,0,(1-(Energy_Consumption_Annual_Total_Predicted/Energy_Use_Annual_Total_Benchmark)))</f>
        <v>0</v>
      </c>
      <c r="I109" s="816"/>
      <c r="J109" s="821"/>
      <c r="K109" s="821"/>
      <c r="L109" s="821"/>
      <c r="M109" s="821"/>
      <c r="N109" s="821"/>
      <c r="O109" s="821"/>
      <c r="P109" s="813"/>
      <c r="Q109" s="1229"/>
      <c r="R109" s="808"/>
      <c r="S109" s="808"/>
      <c r="T109" s="1"/>
      <c r="U109" s="808"/>
      <c r="V109" s="808"/>
      <c r="W109" s="1"/>
      <c r="X109" s="1"/>
      <c r="Y109" s="1"/>
      <c r="Z109" s="1"/>
      <c r="AA109" s="1"/>
      <c r="AB109" s="1"/>
      <c r="AC109" s="1"/>
      <c r="AD109" s="1"/>
      <c r="AE109" s="1"/>
      <c r="AF109" s="1"/>
      <c r="AG109" s="1"/>
      <c r="AH109" s="1"/>
      <c r="AI109" s="1"/>
      <c r="AJ109" s="1"/>
      <c r="AK109" s="1"/>
      <c r="AL109" s="1"/>
      <c r="AM109" s="1"/>
      <c r="AN109" s="1"/>
      <c r="AO109" s="1"/>
    </row>
    <row r="110" spans="1:41" s="743" customFormat="1" ht="13" x14ac:dyDescent="0.3">
      <c r="A110" s="1"/>
      <c r="B110" s="1770"/>
      <c r="C110" s="1"/>
      <c r="D110" s="946"/>
      <c r="E110" s="947"/>
      <c r="F110" s="947"/>
      <c r="G110" s="947"/>
      <c r="H110" s="947"/>
      <c r="I110" s="947"/>
      <c r="J110" s="947"/>
      <c r="K110" s="947"/>
      <c r="L110" s="947"/>
      <c r="M110" s="947"/>
      <c r="N110" s="947"/>
      <c r="O110" s="947"/>
      <c r="P110" s="841"/>
      <c r="Q110" s="1229"/>
      <c r="R110" s="808"/>
      <c r="S110" s="808"/>
      <c r="T110" s="1"/>
      <c r="U110" s="808"/>
      <c r="V110" s="808"/>
      <c r="W110" s="1"/>
      <c r="X110" s="1"/>
      <c r="Y110" s="1"/>
      <c r="Z110" s="1"/>
      <c r="AA110" s="1"/>
      <c r="AB110" s="1"/>
      <c r="AC110" s="1"/>
      <c r="AD110" s="1"/>
      <c r="AE110" s="1"/>
      <c r="AF110" s="1"/>
      <c r="AG110" s="1"/>
      <c r="AH110" s="1"/>
      <c r="AI110" s="1"/>
      <c r="AJ110" s="1"/>
      <c r="AK110" s="1"/>
      <c r="AL110" s="1"/>
      <c r="AM110" s="1"/>
      <c r="AN110" s="1"/>
      <c r="AO110" s="1"/>
    </row>
    <row r="111" spans="1:41" s="743" customFormat="1" ht="13" x14ac:dyDescent="0.3">
      <c r="A111" s="8"/>
      <c r="B111" s="8"/>
      <c r="C111" s="8"/>
      <c r="D111" s="8"/>
      <c r="E111" s="8"/>
      <c r="F111" s="8"/>
      <c r="G111" s="8"/>
      <c r="H111" s="8"/>
      <c r="I111" s="8"/>
      <c r="J111" s="8"/>
      <c r="K111" s="8"/>
      <c r="L111" s="8"/>
      <c r="M111" s="8"/>
      <c r="N111" s="8"/>
      <c r="O111" s="8"/>
      <c r="P111" s="8"/>
      <c r="Q111" s="1229"/>
      <c r="R111" s="8"/>
      <c r="S111" s="8"/>
      <c r="T111" s="8"/>
      <c r="U111" s="8"/>
      <c r="V111" s="8"/>
      <c r="W111" s="8"/>
      <c r="X111" s="8"/>
      <c r="Y111" s="1"/>
      <c r="Z111" s="1"/>
      <c r="AA111" s="1"/>
      <c r="AB111" s="1"/>
      <c r="AC111" s="1"/>
      <c r="AD111" s="1"/>
      <c r="AE111" s="1"/>
      <c r="AF111" s="1"/>
      <c r="AG111" s="1"/>
      <c r="AH111" s="1"/>
      <c r="AI111" s="1"/>
      <c r="AJ111" s="1"/>
      <c r="AK111" s="1"/>
      <c r="AL111" s="1"/>
      <c r="AM111" s="1"/>
      <c r="AN111" s="1"/>
      <c r="AO111" s="1"/>
    </row>
    <row r="112" spans="1:41" s="743" customFormat="1" ht="13" x14ac:dyDescent="0.3">
      <c r="A112" s="1"/>
      <c r="B112" s="1663" t="s">
        <v>1191</v>
      </c>
      <c r="C112" s="1"/>
      <c r="D112" s="770" t="s">
        <v>770</v>
      </c>
      <c r="E112" s="741"/>
      <c r="F112" s="741"/>
      <c r="G112" s="741"/>
      <c r="H112" s="742"/>
      <c r="I112" s="28"/>
      <c r="J112" s="770" t="s">
        <v>1190</v>
      </c>
      <c r="K112" s="741"/>
      <c r="L112" s="741"/>
      <c r="M112" s="741"/>
      <c r="N112" s="741"/>
      <c r="O112" s="741"/>
      <c r="P112" s="742"/>
      <c r="Q112" s="1229"/>
      <c r="R112" s="1259" t="s">
        <v>51</v>
      </c>
      <c r="S112" s="1184"/>
      <c r="T112" s="1"/>
      <c r="U112" s="1259"/>
      <c r="V112" s="1260"/>
      <c r="W112" s="1"/>
      <c r="X112" s="1"/>
      <c r="Y112" s="1"/>
      <c r="Z112" s="1"/>
      <c r="AA112" s="1"/>
      <c r="AB112" s="1"/>
      <c r="AC112" s="1"/>
      <c r="AD112" s="1"/>
      <c r="AE112" s="1"/>
      <c r="AF112" s="1"/>
      <c r="AG112" s="1"/>
      <c r="AH112" s="1"/>
      <c r="AI112" s="1"/>
      <c r="AJ112" s="1"/>
      <c r="AK112" s="1"/>
      <c r="AL112" s="1"/>
      <c r="AM112" s="1"/>
      <c r="AN112" s="1"/>
      <c r="AO112" s="1"/>
    </row>
    <row r="113" spans="1:48" s="743" customFormat="1" ht="13" x14ac:dyDescent="0.3">
      <c r="A113" s="1"/>
      <c r="B113" s="1663"/>
      <c r="C113" s="1"/>
      <c r="D113" s="1261"/>
      <c r="E113" s="1212"/>
      <c r="F113" s="1262"/>
      <c r="G113" s="1262"/>
      <c r="H113" s="1189"/>
      <c r="I113" s="28"/>
      <c r="J113" s="1261"/>
      <c r="K113" s="1262"/>
      <c r="L113" s="1262"/>
      <c r="M113" s="1262"/>
      <c r="N113" s="1262"/>
      <c r="O113" s="1262"/>
      <c r="P113" s="1189"/>
      <c r="Q113" s="1229"/>
      <c r="R113" s="1717" t="s">
        <v>1099</v>
      </c>
      <c r="S113" s="1745"/>
      <c r="T113" s="1"/>
      <c r="U113" s="1743" t="str">
        <f>HYPERLINK("https://www.ashrae.org/technical-resources/standards-and-guidelines/read-only-versions-of-ashrae-standards","ASHRAE Standard 90.1-2007 Lighting Power Density: Table 9.5.1 for Building Area Method or 9.6.1 for Space-by-Space")</f>
        <v>ASHRAE Standard 90.1-2007 Lighting Power Density: Table 9.5.1 for Building Area Method or 9.6.1 for Space-by-Space</v>
      </c>
      <c r="V113" s="1743"/>
      <c r="W113" s="1"/>
      <c r="X113" s="1"/>
      <c r="Y113" s="1"/>
      <c r="Z113" s="1"/>
      <c r="AA113" s="1"/>
      <c r="AB113" s="1"/>
      <c r="AC113" s="1"/>
      <c r="AD113" s="1"/>
      <c r="AE113" s="1"/>
      <c r="AF113" s="1"/>
      <c r="AG113" s="1"/>
      <c r="AH113" s="1"/>
      <c r="AI113" s="1"/>
      <c r="AJ113" s="1"/>
      <c r="AK113" s="1"/>
      <c r="AL113" s="1"/>
      <c r="AM113" s="1"/>
      <c r="AN113" s="1"/>
      <c r="AO113" s="1"/>
    </row>
    <row r="114" spans="1:48" s="743" customFormat="1" ht="13" x14ac:dyDescent="0.3">
      <c r="A114" s="1"/>
      <c r="B114" s="1663"/>
      <c r="C114" s="1"/>
      <c r="D114" s="1263"/>
      <c r="E114" s="1219" t="s">
        <v>362</v>
      </c>
      <c r="F114" s="14"/>
      <c r="G114" s="1264" t="s">
        <v>363</v>
      </c>
      <c r="H114" s="1265"/>
      <c r="I114" s="28"/>
      <c r="J114" s="775"/>
      <c r="K114" s="1219" t="s">
        <v>367</v>
      </c>
      <c r="L114" s="378"/>
      <c r="M114" s="1219" t="s">
        <v>368</v>
      </c>
      <c r="N114" s="378"/>
      <c r="O114" s="1264" t="s">
        <v>807</v>
      </c>
      <c r="P114" s="880"/>
      <c r="Q114" s="1229"/>
      <c r="R114" s="1745"/>
      <c r="S114" s="1745"/>
      <c r="T114" s="1"/>
      <c r="U114" s="1743"/>
      <c r="V114" s="1743"/>
      <c r="W114" s="1"/>
      <c r="X114" s="1"/>
      <c r="Y114" s="1"/>
      <c r="Z114" s="1"/>
      <c r="AA114" s="1"/>
      <c r="AB114" s="1"/>
      <c r="AC114" s="1"/>
      <c r="AD114" s="1"/>
      <c r="AE114" s="1"/>
      <c r="AF114" s="1"/>
      <c r="AG114" s="1"/>
      <c r="AH114" s="1"/>
      <c r="AI114" s="1"/>
      <c r="AJ114" s="1"/>
      <c r="AK114" s="1"/>
      <c r="AL114" s="1"/>
      <c r="AM114" s="1"/>
      <c r="AN114" s="1"/>
      <c r="AO114" s="1"/>
    </row>
    <row r="115" spans="1:48" s="743" customFormat="1" ht="13.5" thickBot="1" x14ac:dyDescent="0.35">
      <c r="A115" s="1"/>
      <c r="B115" s="1663"/>
      <c r="C115" s="1"/>
      <c r="D115" s="1266"/>
      <c r="E115" s="1219" t="s">
        <v>364</v>
      </c>
      <c r="F115" s="1267">
        <f ca="1">LPD_Benchmark</f>
        <v>0</v>
      </c>
      <c r="G115" s="1264" t="s">
        <v>363</v>
      </c>
      <c r="H115" s="1265"/>
      <c r="I115" s="28"/>
      <c r="J115" s="775"/>
      <c r="K115" s="1219" t="s">
        <v>369</v>
      </c>
      <c r="L115" s="378"/>
      <c r="M115" s="1219" t="s">
        <v>370</v>
      </c>
      <c r="N115" s="378"/>
      <c r="O115" s="1264" t="s">
        <v>807</v>
      </c>
      <c r="P115" s="880"/>
      <c r="Q115" s="1229"/>
      <c r="R115" s="1745"/>
      <c r="S115" s="1745"/>
      <c r="T115" s="1"/>
      <c r="U115" s="751"/>
      <c r="V115" s="751"/>
      <c r="W115" s="1"/>
      <c r="X115" s="1"/>
      <c r="Y115" s="1"/>
      <c r="Z115" s="1"/>
      <c r="AA115" s="1"/>
      <c r="AB115" s="1"/>
      <c r="AC115" s="1"/>
      <c r="AD115" s="1"/>
      <c r="AE115" s="1"/>
      <c r="AF115" s="1"/>
      <c r="AG115" s="1"/>
      <c r="AH115" s="1"/>
      <c r="AI115" s="1"/>
      <c r="AJ115" s="1"/>
      <c r="AK115" s="1"/>
      <c r="AL115" s="1"/>
      <c r="AM115" s="1"/>
      <c r="AN115" s="1"/>
      <c r="AO115" s="1"/>
    </row>
    <row r="116" spans="1:48" s="743" customFormat="1" ht="13.5" thickBot="1" x14ac:dyDescent="0.35">
      <c r="A116" s="1"/>
      <c r="B116" s="1663"/>
      <c r="C116" s="1"/>
      <c r="D116" s="1266"/>
      <c r="E116" s="874" t="s">
        <v>365</v>
      </c>
      <c r="F116" s="1268">
        <f ca="1">IFERROR(1-(LPD_Installed/LPD_Benchmark),0)</f>
        <v>0</v>
      </c>
      <c r="G116" s="1264"/>
      <c r="H116" s="1265"/>
      <c r="I116" s="28"/>
      <c r="J116" s="775"/>
      <c r="K116" s="1212"/>
      <c r="L116" s="1212"/>
      <c r="M116" s="879"/>
      <c r="N116" s="879"/>
      <c r="O116" s="879"/>
      <c r="P116" s="880"/>
      <c r="Q116" s="1229"/>
      <c r="R116" s="1269" t="s">
        <v>1100</v>
      </c>
      <c r="S116" s="1000"/>
      <c r="T116" s="1"/>
      <c r="U116" s="1269"/>
      <c r="V116" s="751"/>
      <c r="W116" s="1"/>
      <c r="X116" s="1"/>
      <c r="Y116" s="1"/>
      <c r="Z116" s="1"/>
      <c r="AA116" s="1"/>
      <c r="AB116" s="1"/>
      <c r="AC116" s="1"/>
      <c r="AD116" s="1"/>
      <c r="AE116" s="1"/>
      <c r="AF116" s="1"/>
      <c r="AG116" s="1"/>
      <c r="AH116" s="1"/>
      <c r="AI116" s="1"/>
      <c r="AJ116" s="1"/>
      <c r="AK116" s="1"/>
      <c r="AL116" s="1"/>
      <c r="AM116" s="1"/>
      <c r="AN116" s="1"/>
      <c r="AO116" s="1"/>
    </row>
    <row r="117" spans="1:48" s="743" customFormat="1" ht="13" x14ac:dyDescent="0.3">
      <c r="A117" s="1"/>
      <c r="B117" s="1663"/>
      <c r="C117" s="1"/>
      <c r="D117" s="1266"/>
      <c r="E117" s="1212"/>
      <c r="F117" s="874"/>
      <c r="G117" s="1270"/>
      <c r="H117" s="1271"/>
      <c r="I117" s="28"/>
      <c r="J117" s="775"/>
      <c r="K117" s="1272" t="s">
        <v>371</v>
      </c>
      <c r="L117" s="378"/>
      <c r="M117" s="879"/>
      <c r="N117" s="879"/>
      <c r="O117" s="879"/>
      <c r="P117" s="880"/>
      <c r="Q117" s="1229"/>
      <c r="R117" s="1717" t="s">
        <v>366</v>
      </c>
      <c r="S117" s="1717"/>
      <c r="T117" s="1"/>
      <c r="U117" s="1743" t="str">
        <f>HYPERLINK("https://www.eia.gov/consumption/commercial/data/2012/index.php?view=consumption#c1-c12","CBECS Table C4. Sum of major fuel consumption and expenditure gross energy intensities , 2012")</f>
        <v>CBECS Table C4. Sum of major fuel consumption and expenditure gross energy intensities , 2012</v>
      </c>
      <c r="V117" s="1743"/>
      <c r="W117" s="1"/>
      <c r="X117" s="1"/>
      <c r="Y117" s="1"/>
      <c r="Z117" s="1"/>
      <c r="AA117" s="1"/>
      <c r="AB117" s="1"/>
      <c r="AC117" s="1"/>
      <c r="AD117" s="1"/>
      <c r="AE117" s="1"/>
      <c r="AF117" s="1"/>
      <c r="AG117" s="1"/>
      <c r="AH117" s="1"/>
      <c r="AI117" s="1"/>
      <c r="AJ117" s="1"/>
      <c r="AK117" s="1"/>
      <c r="AL117" s="1"/>
      <c r="AM117" s="1"/>
      <c r="AN117" s="1"/>
      <c r="AO117" s="1"/>
    </row>
    <row r="118" spans="1:48" s="743" customFormat="1" ht="13" x14ac:dyDescent="0.3">
      <c r="A118" s="1"/>
      <c r="B118" s="1663"/>
      <c r="C118" s="1"/>
      <c r="D118" s="1273"/>
      <c r="E118" s="1191"/>
      <c r="F118" s="1274"/>
      <c r="G118" s="1274"/>
      <c r="H118" s="1275"/>
      <c r="I118" s="28"/>
      <c r="J118" s="1273"/>
      <c r="K118" s="1274"/>
      <c r="L118" s="1274"/>
      <c r="M118" s="1274"/>
      <c r="N118" s="1274"/>
      <c r="O118" s="1274"/>
      <c r="P118" s="1275"/>
      <c r="Q118" s="1229"/>
      <c r="R118" s="1717"/>
      <c r="S118" s="1717"/>
      <c r="T118" s="1"/>
      <c r="U118" s="1743"/>
      <c r="V118" s="1743"/>
      <c r="W118" s="1"/>
      <c r="X118" s="1"/>
      <c r="Y118" s="1"/>
      <c r="Z118" s="1"/>
      <c r="AA118" s="1"/>
      <c r="AB118" s="1"/>
      <c r="AC118" s="1"/>
      <c r="AD118" s="1"/>
      <c r="AE118" s="1"/>
      <c r="AF118" s="1"/>
      <c r="AG118" s="1"/>
      <c r="AH118" s="1"/>
      <c r="AI118" s="1"/>
      <c r="AJ118" s="1"/>
      <c r="AK118" s="1"/>
      <c r="AL118" s="1"/>
      <c r="AM118" s="1"/>
      <c r="AN118" s="1"/>
      <c r="AO118" s="1"/>
    </row>
    <row r="119" spans="1:48" s="743" customFormat="1" ht="13" x14ac:dyDescent="0.3">
      <c r="A119" s="1"/>
      <c r="B119" s="1"/>
      <c r="C119" s="1"/>
      <c r="D119" s="1"/>
      <c r="E119" s="1"/>
      <c r="F119" s="1"/>
      <c r="G119" s="1"/>
      <c r="H119" s="1"/>
      <c r="I119" s="1"/>
      <c r="J119" s="1"/>
      <c r="K119" s="1"/>
      <c r="L119" s="1"/>
      <c r="M119" s="1"/>
      <c r="N119" s="1"/>
      <c r="O119" s="1"/>
      <c r="P119" s="1"/>
      <c r="Q119" s="335"/>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row>
    <row r="120" spans="1:48" x14ac:dyDescent="0.35">
      <c r="A120" s="484"/>
      <c r="B120" s="1622" t="s">
        <v>976</v>
      </c>
      <c r="C120" s="484"/>
      <c r="D120" s="1656" t="s">
        <v>838</v>
      </c>
      <c r="E120" s="1657"/>
      <c r="F120" s="1657"/>
      <c r="G120" s="1657"/>
      <c r="H120" s="1657"/>
      <c r="I120" s="1657"/>
      <c r="J120" s="1657"/>
      <c r="K120" s="1657"/>
      <c r="L120" s="1657"/>
      <c r="M120" s="1657"/>
      <c r="N120" s="1657"/>
      <c r="O120" s="1657"/>
      <c r="P120" s="1658"/>
      <c r="Q120" s="335"/>
      <c r="R120" s="751"/>
      <c r="S120" s="751"/>
      <c r="T120" s="484"/>
      <c r="U120" s="1070"/>
      <c r="V120" s="1070"/>
      <c r="W120" s="484"/>
      <c r="X120" s="484"/>
      <c r="Y120" s="484"/>
      <c r="Z120" s="484"/>
      <c r="AA120" s="484"/>
      <c r="AB120" s="484"/>
      <c r="AC120" s="484"/>
      <c r="AD120" s="484"/>
      <c r="AE120" s="484"/>
      <c r="AF120" s="484"/>
      <c r="AG120" s="484"/>
      <c r="AH120" s="484"/>
      <c r="AI120" s="484"/>
      <c r="AJ120" s="484"/>
      <c r="AK120" s="484"/>
      <c r="AL120" s="484"/>
      <c r="AM120" s="484"/>
      <c r="AN120" s="484"/>
      <c r="AO120" s="484"/>
      <c r="AP120" s="484"/>
      <c r="AQ120" s="484"/>
      <c r="AR120" s="484"/>
      <c r="AS120" s="484"/>
      <c r="AT120" s="484"/>
      <c r="AU120" s="484"/>
      <c r="AV120" s="484"/>
    </row>
    <row r="121" spans="1:48" x14ac:dyDescent="0.35">
      <c r="A121" s="484"/>
      <c r="B121" s="1708"/>
      <c r="C121" s="484"/>
      <c r="D121" s="771"/>
      <c r="E121" s="772"/>
      <c r="F121" s="772"/>
      <c r="G121" s="772"/>
      <c r="H121" s="772"/>
      <c r="I121" s="772"/>
      <c r="J121" s="772"/>
      <c r="K121" s="772"/>
      <c r="L121" s="772"/>
      <c r="M121" s="772"/>
      <c r="N121" s="772"/>
      <c r="O121" s="772"/>
      <c r="P121" s="1073"/>
      <c r="Q121" s="335"/>
      <c r="R121" s="751"/>
      <c r="S121" s="751"/>
      <c r="T121" s="484"/>
      <c r="U121" s="1070"/>
      <c r="V121" s="1070"/>
      <c r="W121" s="484"/>
      <c r="X121" s="484"/>
      <c r="Y121" s="484"/>
      <c r="Z121" s="484"/>
      <c r="AA121" s="484"/>
      <c r="AB121" s="484"/>
      <c r="AC121" s="484"/>
      <c r="AD121" s="484"/>
      <c r="AE121" s="484"/>
      <c r="AF121" s="484"/>
      <c r="AG121" s="484"/>
      <c r="AH121" s="484"/>
      <c r="AI121" s="484"/>
      <c r="AJ121" s="484"/>
      <c r="AK121" s="484"/>
      <c r="AL121" s="484"/>
      <c r="AM121" s="484"/>
      <c r="AN121" s="484"/>
      <c r="AO121" s="484"/>
      <c r="AP121" s="484"/>
      <c r="AQ121" s="484"/>
      <c r="AR121" s="484"/>
      <c r="AS121" s="484"/>
      <c r="AT121" s="484"/>
      <c r="AU121" s="484"/>
      <c r="AV121" s="484"/>
    </row>
    <row r="122" spans="1:48" x14ac:dyDescent="0.35">
      <c r="A122" s="484"/>
      <c r="B122" s="1708"/>
      <c r="C122" s="484"/>
      <c r="D122" s="786"/>
      <c r="E122" s="1761"/>
      <c r="F122" s="1762"/>
      <c r="G122" s="1762"/>
      <c r="H122" s="1762"/>
      <c r="I122" s="1762"/>
      <c r="J122" s="1762"/>
      <c r="K122" s="1762"/>
      <c r="L122" s="1762"/>
      <c r="M122" s="1762"/>
      <c r="N122" s="1762"/>
      <c r="O122" s="1763"/>
      <c r="P122" s="714"/>
      <c r="Q122" s="335"/>
      <c r="R122" s="751"/>
      <c r="S122" s="751"/>
      <c r="T122" s="484"/>
      <c r="U122" s="1070"/>
      <c r="V122" s="1070"/>
      <c r="W122" s="484"/>
      <c r="X122" s="484"/>
      <c r="Y122" s="484"/>
      <c r="Z122" s="484"/>
      <c r="AA122" s="484"/>
      <c r="AB122" s="484"/>
      <c r="AC122" s="484"/>
      <c r="AD122" s="484"/>
      <c r="AE122" s="484"/>
      <c r="AF122" s="484"/>
      <c r="AG122" s="484"/>
      <c r="AH122" s="484"/>
      <c r="AI122" s="484"/>
      <c r="AJ122" s="484"/>
      <c r="AK122" s="484"/>
      <c r="AL122" s="484"/>
      <c r="AM122" s="484"/>
      <c r="AN122" s="484"/>
      <c r="AO122" s="484"/>
      <c r="AP122" s="484"/>
      <c r="AQ122" s="484"/>
      <c r="AR122" s="484"/>
      <c r="AS122" s="484"/>
      <c r="AT122" s="484"/>
      <c r="AU122" s="484"/>
      <c r="AV122" s="484"/>
    </row>
    <row r="123" spans="1:48" x14ac:dyDescent="0.35">
      <c r="A123" s="484"/>
      <c r="B123" s="1708"/>
      <c r="C123" s="484"/>
      <c r="D123" s="786"/>
      <c r="E123" s="1764"/>
      <c r="F123" s="1765"/>
      <c r="G123" s="1765"/>
      <c r="H123" s="1765"/>
      <c r="I123" s="1765"/>
      <c r="J123" s="1765"/>
      <c r="K123" s="1765"/>
      <c r="L123" s="1765"/>
      <c r="M123" s="1765"/>
      <c r="N123" s="1765"/>
      <c r="O123" s="1766"/>
      <c r="P123" s="714"/>
      <c r="Q123" s="335"/>
      <c r="R123" s="751"/>
      <c r="S123" s="751"/>
      <c r="T123" s="484"/>
      <c r="U123" s="1070"/>
      <c r="V123" s="1070"/>
      <c r="W123" s="484"/>
      <c r="X123" s="484"/>
      <c r="Y123" s="484"/>
      <c r="Z123" s="484"/>
      <c r="AA123" s="484"/>
      <c r="AB123" s="484"/>
      <c r="AC123" s="484"/>
      <c r="AD123" s="484"/>
      <c r="AE123" s="484"/>
      <c r="AF123" s="484"/>
      <c r="AG123" s="484"/>
      <c r="AH123" s="484"/>
      <c r="AI123" s="484"/>
      <c r="AJ123" s="484"/>
      <c r="AK123" s="484"/>
      <c r="AL123" s="484"/>
      <c r="AM123" s="484"/>
      <c r="AN123" s="484"/>
      <c r="AO123" s="484"/>
      <c r="AP123" s="484"/>
      <c r="AQ123" s="484"/>
      <c r="AR123" s="484"/>
      <c r="AS123" s="484"/>
      <c r="AT123" s="484"/>
      <c r="AU123" s="484"/>
      <c r="AV123" s="484"/>
    </row>
    <row r="124" spans="1:48" x14ac:dyDescent="0.35">
      <c r="A124" s="484"/>
      <c r="B124" s="1708"/>
      <c r="C124" s="484"/>
      <c r="D124" s="786"/>
      <c r="E124" s="1764"/>
      <c r="F124" s="1765"/>
      <c r="G124" s="1765"/>
      <c r="H124" s="1765"/>
      <c r="I124" s="1765"/>
      <c r="J124" s="1765"/>
      <c r="K124" s="1765"/>
      <c r="L124" s="1765"/>
      <c r="M124" s="1765"/>
      <c r="N124" s="1765"/>
      <c r="O124" s="1766"/>
      <c r="P124" s="714"/>
      <c r="Q124" s="335"/>
      <c r="R124" s="751"/>
      <c r="S124" s="751"/>
      <c r="T124" s="484"/>
      <c r="U124" s="1070"/>
      <c r="V124" s="1070"/>
      <c r="W124" s="484"/>
      <c r="X124" s="484"/>
      <c r="Y124" s="484"/>
      <c r="Z124" s="484"/>
      <c r="AA124" s="484"/>
      <c r="AB124" s="484"/>
      <c r="AC124" s="484"/>
      <c r="AD124" s="484"/>
      <c r="AE124" s="484"/>
      <c r="AF124" s="484"/>
      <c r="AG124" s="484"/>
      <c r="AH124" s="484"/>
      <c r="AI124" s="484"/>
      <c r="AJ124" s="484"/>
      <c r="AK124" s="484"/>
      <c r="AL124" s="484"/>
      <c r="AM124" s="484"/>
      <c r="AN124" s="484"/>
      <c r="AO124" s="484"/>
      <c r="AP124" s="484"/>
      <c r="AQ124" s="484"/>
      <c r="AR124" s="484"/>
      <c r="AS124" s="484"/>
      <c r="AT124" s="484"/>
      <c r="AU124" s="484"/>
      <c r="AV124" s="484"/>
    </row>
    <row r="125" spans="1:48" x14ac:dyDescent="0.35">
      <c r="A125" s="484"/>
      <c r="B125" s="1708"/>
      <c r="C125" s="484"/>
      <c r="D125" s="786"/>
      <c r="E125" s="1764"/>
      <c r="F125" s="1765"/>
      <c r="G125" s="1765"/>
      <c r="H125" s="1765"/>
      <c r="I125" s="1765"/>
      <c r="J125" s="1765"/>
      <c r="K125" s="1765"/>
      <c r="L125" s="1765"/>
      <c r="M125" s="1765"/>
      <c r="N125" s="1765"/>
      <c r="O125" s="1766"/>
      <c r="P125" s="714"/>
      <c r="Q125" s="335"/>
      <c r="R125" s="751"/>
      <c r="S125" s="751"/>
      <c r="T125" s="484"/>
      <c r="U125" s="1070"/>
      <c r="V125" s="1070"/>
      <c r="W125" s="484"/>
      <c r="X125" s="484"/>
      <c r="Y125" s="484"/>
      <c r="Z125" s="484"/>
      <c r="AA125" s="484"/>
      <c r="AB125" s="484"/>
      <c r="AC125" s="484"/>
      <c r="AD125" s="484"/>
      <c r="AE125" s="484"/>
      <c r="AF125" s="484"/>
      <c r="AG125" s="484"/>
      <c r="AH125" s="484"/>
      <c r="AI125" s="484"/>
      <c r="AJ125" s="484"/>
      <c r="AK125" s="484"/>
      <c r="AL125" s="484"/>
      <c r="AM125" s="484"/>
      <c r="AN125" s="484"/>
      <c r="AO125" s="484"/>
      <c r="AP125" s="484"/>
      <c r="AQ125" s="484"/>
      <c r="AR125" s="484"/>
      <c r="AS125" s="484"/>
      <c r="AT125" s="484"/>
      <c r="AU125" s="484"/>
      <c r="AV125" s="484"/>
    </row>
    <row r="126" spans="1:48" x14ac:dyDescent="0.35">
      <c r="A126" s="484"/>
      <c r="B126" s="1708"/>
      <c r="C126" s="484"/>
      <c r="D126" s="786"/>
      <c r="E126" s="1764"/>
      <c r="F126" s="1765"/>
      <c r="G126" s="1765"/>
      <c r="H126" s="1765"/>
      <c r="I126" s="1765"/>
      <c r="J126" s="1765"/>
      <c r="K126" s="1765"/>
      <c r="L126" s="1765"/>
      <c r="M126" s="1765"/>
      <c r="N126" s="1765"/>
      <c r="O126" s="1766"/>
      <c r="P126" s="714"/>
      <c r="Q126" s="335"/>
      <c r="R126" s="751"/>
      <c r="S126" s="751"/>
      <c r="T126" s="484"/>
      <c r="U126" s="1070"/>
      <c r="V126" s="1070"/>
      <c r="W126" s="484"/>
      <c r="X126" s="484"/>
      <c r="Y126" s="484"/>
      <c r="Z126" s="484"/>
      <c r="AA126" s="484"/>
      <c r="AB126" s="484"/>
      <c r="AC126" s="484"/>
      <c r="AD126" s="484"/>
      <c r="AE126" s="484"/>
      <c r="AF126" s="484"/>
      <c r="AG126" s="484"/>
      <c r="AH126" s="484"/>
      <c r="AI126" s="484"/>
      <c r="AJ126" s="484"/>
      <c r="AK126" s="484"/>
      <c r="AL126" s="484"/>
      <c r="AM126" s="484"/>
      <c r="AN126" s="484"/>
      <c r="AO126" s="484"/>
      <c r="AP126" s="484"/>
      <c r="AQ126" s="484"/>
      <c r="AR126" s="484"/>
      <c r="AS126" s="484"/>
      <c r="AT126" s="484"/>
      <c r="AU126" s="484"/>
      <c r="AV126" s="484"/>
    </row>
    <row r="127" spans="1:48" x14ac:dyDescent="0.35">
      <c r="A127" s="484"/>
      <c r="B127" s="1708"/>
      <c r="C127" s="484"/>
      <c r="D127" s="786"/>
      <c r="E127" s="1767"/>
      <c r="F127" s="1768"/>
      <c r="G127" s="1768"/>
      <c r="H127" s="1768"/>
      <c r="I127" s="1768"/>
      <c r="J127" s="1768"/>
      <c r="K127" s="1768"/>
      <c r="L127" s="1768"/>
      <c r="M127" s="1768"/>
      <c r="N127" s="1768"/>
      <c r="O127" s="1769"/>
      <c r="P127" s="714"/>
      <c r="Q127" s="335"/>
      <c r="R127" s="751"/>
      <c r="S127" s="751"/>
      <c r="T127" s="484"/>
      <c r="U127" s="1070"/>
      <c r="V127" s="1070"/>
      <c r="W127" s="484"/>
      <c r="X127" s="484"/>
      <c r="Y127" s="484"/>
      <c r="Z127" s="484"/>
      <c r="AA127" s="484"/>
      <c r="AB127" s="484"/>
      <c r="AC127" s="484"/>
      <c r="AD127" s="484"/>
      <c r="AE127" s="484"/>
      <c r="AF127" s="484"/>
      <c r="AG127" s="484"/>
      <c r="AH127" s="484"/>
      <c r="AI127" s="484"/>
      <c r="AJ127" s="484"/>
      <c r="AK127" s="484"/>
      <c r="AL127" s="484"/>
      <c r="AM127" s="484"/>
      <c r="AN127" s="484"/>
      <c r="AO127" s="484"/>
      <c r="AP127" s="484"/>
      <c r="AQ127" s="484"/>
      <c r="AR127" s="484"/>
      <c r="AS127" s="484"/>
      <c r="AT127" s="484"/>
      <c r="AU127" s="484"/>
      <c r="AV127" s="484"/>
    </row>
    <row r="128" spans="1:48" x14ac:dyDescent="0.35">
      <c r="A128" s="484"/>
      <c r="B128" s="1708"/>
      <c r="C128" s="484"/>
      <c r="D128" s="803"/>
      <c r="E128" s="782"/>
      <c r="F128" s="782"/>
      <c r="G128" s="782"/>
      <c r="H128" s="782"/>
      <c r="I128" s="782"/>
      <c r="J128" s="782"/>
      <c r="K128" s="782"/>
      <c r="L128" s="782"/>
      <c r="M128" s="782"/>
      <c r="N128" s="782"/>
      <c r="O128" s="782"/>
      <c r="P128" s="1076"/>
      <c r="Q128" s="335"/>
      <c r="R128" s="751"/>
      <c r="S128" s="751"/>
      <c r="T128" s="484"/>
      <c r="U128" s="1070"/>
      <c r="V128" s="1070"/>
      <c r="W128" s="484"/>
      <c r="X128" s="484"/>
      <c r="Y128" s="484"/>
      <c r="Z128" s="484"/>
      <c r="AA128" s="484"/>
      <c r="AB128" s="484"/>
      <c r="AC128" s="484"/>
      <c r="AD128" s="484"/>
      <c r="AE128" s="484"/>
      <c r="AF128" s="484"/>
      <c r="AG128" s="484"/>
      <c r="AH128" s="484"/>
      <c r="AI128" s="484"/>
      <c r="AJ128" s="484"/>
      <c r="AK128" s="484"/>
      <c r="AL128" s="484"/>
      <c r="AM128" s="484"/>
      <c r="AN128" s="484"/>
      <c r="AO128" s="484"/>
      <c r="AP128" s="484"/>
      <c r="AQ128" s="484"/>
      <c r="AR128" s="484"/>
      <c r="AS128" s="484"/>
      <c r="AT128" s="484"/>
      <c r="AU128" s="484"/>
      <c r="AV128" s="484"/>
    </row>
    <row r="129" spans="1:41" s="743" customFormat="1" ht="13" x14ac:dyDescent="0.3">
      <c r="A129" s="1"/>
      <c r="B129" s="1"/>
      <c r="C129" s="1"/>
      <c r="D129" s="1"/>
      <c r="E129" s="1"/>
      <c r="F129" s="1"/>
      <c r="G129" s="1"/>
      <c r="H129" s="1"/>
      <c r="I129" s="1"/>
      <c r="J129" s="1"/>
      <c r="K129" s="1"/>
      <c r="L129" s="1"/>
      <c r="M129" s="1"/>
      <c r="N129" s="1"/>
      <c r="O129" s="1"/>
      <c r="P129" s="1"/>
      <c r="Q129" s="335"/>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row>
    <row r="130" spans="1:41" x14ac:dyDescent="0.35">
      <c r="A130" s="484"/>
      <c r="B130" s="484"/>
      <c r="C130" s="484"/>
      <c r="D130" s="484"/>
      <c r="E130" s="484"/>
      <c r="F130" s="484"/>
      <c r="G130" s="484"/>
      <c r="H130" s="484"/>
      <c r="I130" s="484"/>
      <c r="J130" s="484"/>
      <c r="K130" s="484"/>
      <c r="L130" s="484"/>
      <c r="M130" s="484"/>
      <c r="N130" s="484"/>
      <c r="O130" s="484"/>
      <c r="P130" s="484"/>
      <c r="Q130" s="335"/>
      <c r="R130" s="484"/>
      <c r="S130" s="484"/>
      <c r="T130" s="484"/>
      <c r="U130" s="484"/>
      <c r="V130" s="484"/>
      <c r="W130" s="484"/>
      <c r="X130" s="484"/>
      <c r="Y130" s="484"/>
      <c r="Z130" s="484"/>
      <c r="AA130" s="484"/>
      <c r="AB130" s="484"/>
      <c r="AC130" s="484"/>
      <c r="AD130" s="484"/>
      <c r="AE130" s="484"/>
      <c r="AF130" s="484"/>
      <c r="AG130" s="484"/>
      <c r="AH130" s="484"/>
      <c r="AI130" s="484"/>
      <c r="AJ130" s="484"/>
      <c r="AK130" s="484"/>
      <c r="AL130" s="484"/>
      <c r="AM130" s="484"/>
      <c r="AN130" s="484"/>
      <c r="AO130" s="484"/>
    </row>
    <row r="131" spans="1:41" x14ac:dyDescent="0.35">
      <c r="A131" s="484"/>
      <c r="B131" s="484"/>
      <c r="C131" s="484"/>
      <c r="D131" s="484"/>
      <c r="E131" s="484"/>
      <c r="F131" s="484"/>
      <c r="G131" s="484"/>
      <c r="H131" s="484"/>
      <c r="I131" s="484"/>
      <c r="J131" s="484"/>
      <c r="K131" s="484"/>
      <c r="L131" s="484"/>
      <c r="M131" s="484"/>
      <c r="N131" s="484"/>
      <c r="O131" s="484"/>
      <c r="P131" s="484"/>
      <c r="Q131" s="335"/>
      <c r="R131" s="484"/>
      <c r="S131" s="484"/>
      <c r="T131" s="484"/>
      <c r="U131" s="484"/>
      <c r="V131" s="484"/>
      <c r="W131" s="484"/>
      <c r="X131" s="484"/>
      <c r="Y131" s="484"/>
      <c r="Z131" s="484"/>
      <c r="AA131" s="484"/>
      <c r="AB131" s="484"/>
      <c r="AC131" s="484"/>
      <c r="AD131" s="484"/>
      <c r="AE131" s="484"/>
      <c r="AF131" s="484"/>
      <c r="AG131" s="484"/>
      <c r="AH131" s="484"/>
      <c r="AI131" s="484"/>
      <c r="AJ131" s="484"/>
      <c r="AK131" s="484"/>
      <c r="AL131" s="484"/>
      <c r="AM131" s="484"/>
      <c r="AN131" s="484"/>
      <c r="AO131" s="484"/>
    </row>
    <row r="132" spans="1:41" x14ac:dyDescent="0.35">
      <c r="A132" s="484"/>
      <c r="B132" s="484"/>
      <c r="C132" s="484"/>
      <c r="D132" s="484"/>
      <c r="E132" s="484"/>
      <c r="F132" s="484"/>
      <c r="G132" s="484"/>
      <c r="H132" s="484"/>
      <c r="I132" s="484"/>
      <c r="J132" s="484"/>
      <c r="K132" s="484"/>
      <c r="L132" s="484"/>
      <c r="M132" s="484"/>
      <c r="N132" s="484"/>
      <c r="O132" s="484"/>
      <c r="P132" s="484"/>
      <c r="Q132" s="484"/>
      <c r="R132" s="484"/>
      <c r="S132" s="484"/>
      <c r="T132" s="484"/>
      <c r="U132" s="484"/>
      <c r="V132" s="484"/>
      <c r="W132" s="484"/>
      <c r="X132" s="484"/>
      <c r="Y132" s="484"/>
      <c r="Z132" s="484"/>
      <c r="AA132" s="484"/>
      <c r="AB132" s="484"/>
      <c r="AC132" s="484"/>
      <c r="AD132" s="484"/>
      <c r="AE132" s="484"/>
      <c r="AF132" s="484"/>
      <c r="AG132" s="484"/>
      <c r="AH132" s="484"/>
      <c r="AI132" s="484"/>
      <c r="AJ132" s="484"/>
      <c r="AK132" s="484"/>
      <c r="AL132" s="484"/>
      <c r="AM132" s="484"/>
      <c r="AN132" s="484"/>
      <c r="AO132" s="484"/>
    </row>
    <row r="133" spans="1:41" x14ac:dyDescent="0.35">
      <c r="A133" s="484"/>
      <c r="B133" s="484"/>
      <c r="C133" s="484"/>
      <c r="D133" s="484"/>
      <c r="E133" s="484"/>
      <c r="F133" s="484"/>
      <c r="G133" s="484"/>
      <c r="H133" s="484"/>
      <c r="I133" s="484"/>
      <c r="J133" s="484"/>
      <c r="K133" s="484"/>
      <c r="L133" s="484"/>
      <c r="M133" s="484"/>
      <c r="N133" s="484"/>
      <c r="O133" s="484"/>
      <c r="P133" s="484"/>
      <c r="Q133" s="484"/>
      <c r="R133" s="484"/>
      <c r="S133" s="484"/>
      <c r="T133" s="484"/>
      <c r="U133" s="484"/>
      <c r="V133" s="484"/>
      <c r="W133" s="484"/>
      <c r="X133" s="484"/>
      <c r="Y133" s="484"/>
      <c r="Z133" s="484"/>
      <c r="AA133" s="484"/>
      <c r="AB133" s="484"/>
      <c r="AC133" s="484"/>
      <c r="AD133" s="484"/>
      <c r="AE133" s="484"/>
      <c r="AF133" s="484"/>
      <c r="AG133" s="484"/>
      <c r="AH133" s="484"/>
      <c r="AI133" s="484"/>
      <c r="AJ133" s="484"/>
      <c r="AK133" s="484"/>
      <c r="AL133" s="484"/>
      <c r="AM133" s="484"/>
      <c r="AN133" s="484"/>
      <c r="AO133" s="484"/>
    </row>
    <row r="134" spans="1:41" x14ac:dyDescent="0.35">
      <c r="A134" s="484"/>
      <c r="B134" s="484"/>
      <c r="C134" s="484"/>
      <c r="D134" s="484"/>
      <c r="E134" s="484"/>
      <c r="F134" s="484"/>
      <c r="G134" s="484"/>
      <c r="H134" s="484"/>
      <c r="I134" s="484"/>
      <c r="J134" s="484"/>
      <c r="K134" s="484"/>
      <c r="L134" s="484"/>
      <c r="M134" s="484"/>
      <c r="N134" s="484"/>
      <c r="O134" s="484"/>
      <c r="P134" s="484"/>
      <c r="Q134" s="484"/>
      <c r="R134" s="484"/>
      <c r="S134" s="484"/>
      <c r="T134" s="484"/>
      <c r="U134" s="484"/>
      <c r="V134" s="484"/>
      <c r="W134" s="484"/>
      <c r="X134" s="484"/>
      <c r="Y134" s="484"/>
      <c r="Z134" s="484"/>
      <c r="AA134" s="484"/>
      <c r="AB134" s="484"/>
      <c r="AC134" s="484"/>
      <c r="AD134" s="484"/>
      <c r="AE134" s="484"/>
      <c r="AF134" s="484"/>
      <c r="AG134" s="484"/>
      <c r="AH134" s="484"/>
      <c r="AI134" s="484"/>
      <c r="AJ134" s="484"/>
      <c r="AK134" s="484"/>
      <c r="AL134" s="484"/>
      <c r="AM134" s="484"/>
      <c r="AN134" s="484"/>
      <c r="AO134" s="484"/>
    </row>
    <row r="135" spans="1:41" x14ac:dyDescent="0.35">
      <c r="A135" s="484"/>
      <c r="B135" s="484"/>
      <c r="C135" s="484"/>
      <c r="D135" s="484"/>
      <c r="E135" s="484"/>
      <c r="F135" s="484"/>
      <c r="G135" s="484"/>
      <c r="H135" s="484"/>
      <c r="I135" s="484"/>
      <c r="J135" s="484"/>
      <c r="K135" s="484"/>
      <c r="L135" s="484"/>
      <c r="M135" s="484"/>
      <c r="N135" s="484"/>
      <c r="O135" s="484"/>
      <c r="P135" s="484"/>
      <c r="Q135" s="484"/>
      <c r="R135" s="484"/>
      <c r="S135" s="484"/>
      <c r="T135" s="484"/>
      <c r="U135" s="484"/>
      <c r="V135" s="484"/>
      <c r="W135" s="484"/>
      <c r="X135" s="484"/>
      <c r="Y135" s="484"/>
      <c r="Z135" s="484"/>
      <c r="AA135" s="484"/>
      <c r="AB135" s="484"/>
      <c r="AC135" s="484"/>
      <c r="AD135" s="484"/>
      <c r="AE135" s="484"/>
      <c r="AF135" s="484"/>
      <c r="AG135" s="484"/>
      <c r="AH135" s="484"/>
      <c r="AI135" s="484"/>
      <c r="AJ135" s="484"/>
      <c r="AK135" s="484"/>
      <c r="AL135" s="484"/>
      <c r="AM135" s="484"/>
      <c r="AN135" s="484"/>
      <c r="AO135" s="484"/>
    </row>
    <row r="136" spans="1:41" x14ac:dyDescent="0.35">
      <c r="A136" s="484"/>
      <c r="B136" s="484"/>
      <c r="C136" s="484"/>
      <c r="D136" s="484"/>
      <c r="E136" s="484"/>
      <c r="F136" s="484"/>
      <c r="G136" s="484"/>
      <c r="H136" s="484"/>
      <c r="I136" s="484"/>
      <c r="J136" s="484"/>
      <c r="K136" s="484"/>
      <c r="L136" s="484"/>
      <c r="M136" s="484"/>
      <c r="N136" s="484"/>
      <c r="O136" s="484"/>
      <c r="P136" s="484"/>
      <c r="Q136" s="484"/>
      <c r="R136" s="484"/>
      <c r="S136" s="484"/>
      <c r="T136" s="484"/>
      <c r="U136" s="484"/>
      <c r="V136" s="484"/>
      <c r="W136" s="484"/>
      <c r="X136" s="484"/>
      <c r="Y136" s="484"/>
      <c r="Z136" s="484"/>
      <c r="AA136" s="484"/>
      <c r="AB136" s="484"/>
      <c r="AC136" s="484"/>
      <c r="AD136" s="484"/>
      <c r="AE136" s="484"/>
      <c r="AF136" s="484"/>
      <c r="AG136" s="484"/>
      <c r="AH136" s="484"/>
      <c r="AI136" s="484"/>
      <c r="AJ136" s="484"/>
      <c r="AK136" s="484"/>
      <c r="AL136" s="484"/>
      <c r="AM136" s="484"/>
      <c r="AN136" s="484"/>
      <c r="AO136" s="484"/>
    </row>
    <row r="137" spans="1:41" x14ac:dyDescent="0.35">
      <c r="A137" s="484"/>
      <c r="B137" s="484"/>
      <c r="C137" s="484"/>
      <c r="D137" s="484"/>
      <c r="E137" s="484"/>
      <c r="F137" s="484"/>
      <c r="G137" s="484"/>
      <c r="H137" s="484"/>
      <c r="I137" s="484"/>
      <c r="J137" s="484"/>
      <c r="K137" s="484"/>
      <c r="L137" s="484"/>
      <c r="M137" s="484"/>
      <c r="N137" s="484"/>
      <c r="O137" s="484"/>
      <c r="P137" s="484"/>
      <c r="Q137" s="484"/>
      <c r="R137" s="484"/>
      <c r="S137" s="484"/>
      <c r="T137" s="484"/>
      <c r="U137" s="484"/>
      <c r="V137" s="484"/>
      <c r="W137" s="484"/>
      <c r="X137" s="484"/>
      <c r="Y137" s="484"/>
      <c r="Z137" s="484"/>
      <c r="AA137" s="484"/>
      <c r="AB137" s="484"/>
      <c r="AC137" s="484"/>
      <c r="AD137" s="484"/>
      <c r="AE137" s="484"/>
      <c r="AF137" s="484"/>
      <c r="AG137" s="484"/>
      <c r="AH137" s="484"/>
      <c r="AI137" s="484"/>
      <c r="AJ137" s="484"/>
      <c r="AK137" s="484"/>
      <c r="AL137" s="484"/>
      <c r="AM137" s="484"/>
      <c r="AN137" s="484"/>
      <c r="AO137" s="484"/>
    </row>
    <row r="138" spans="1:41" x14ac:dyDescent="0.35">
      <c r="A138" s="484"/>
      <c r="B138" s="484"/>
      <c r="C138" s="484"/>
      <c r="D138" s="484"/>
      <c r="E138" s="484"/>
      <c r="F138" s="484"/>
      <c r="G138" s="484"/>
      <c r="H138" s="484"/>
      <c r="I138" s="484"/>
      <c r="J138" s="484"/>
      <c r="K138" s="484"/>
      <c r="L138" s="484"/>
      <c r="M138" s="484"/>
      <c r="N138" s="484"/>
      <c r="O138" s="484"/>
      <c r="P138" s="484"/>
      <c r="Q138" s="484"/>
      <c r="R138" s="484"/>
      <c r="S138" s="484"/>
      <c r="T138" s="484"/>
      <c r="U138" s="484"/>
      <c r="V138" s="484"/>
      <c r="W138" s="484"/>
      <c r="X138" s="484"/>
      <c r="Y138" s="484"/>
      <c r="Z138" s="484"/>
      <c r="AA138" s="484"/>
      <c r="AB138" s="484"/>
      <c r="AC138" s="484"/>
      <c r="AD138" s="484"/>
      <c r="AE138" s="484"/>
      <c r="AF138" s="484"/>
      <c r="AG138" s="484"/>
      <c r="AH138" s="484"/>
      <c r="AI138" s="484"/>
      <c r="AJ138" s="484"/>
      <c r="AK138" s="484"/>
      <c r="AL138" s="484"/>
      <c r="AM138" s="484"/>
      <c r="AN138" s="484"/>
      <c r="AO138" s="484"/>
    </row>
    <row r="139" spans="1:41" x14ac:dyDescent="0.35">
      <c r="A139" s="484"/>
      <c r="B139" s="484"/>
      <c r="C139" s="484"/>
      <c r="D139" s="484"/>
      <c r="E139" s="484"/>
      <c r="F139" s="484"/>
      <c r="G139" s="484"/>
      <c r="H139" s="484"/>
      <c r="I139" s="484"/>
      <c r="J139" s="484"/>
      <c r="K139" s="484"/>
      <c r="L139" s="484"/>
      <c r="M139" s="484"/>
      <c r="N139" s="484"/>
      <c r="O139" s="484"/>
      <c r="P139" s="484"/>
      <c r="Q139" s="484"/>
      <c r="R139" s="484"/>
      <c r="S139" s="484"/>
      <c r="T139" s="484"/>
      <c r="U139" s="484"/>
      <c r="V139" s="484"/>
      <c r="W139" s="484"/>
      <c r="X139" s="484"/>
      <c r="Y139" s="484"/>
      <c r="Z139" s="484"/>
      <c r="AA139" s="484"/>
      <c r="AB139" s="484"/>
      <c r="AC139" s="484"/>
      <c r="AD139" s="484"/>
      <c r="AE139" s="484"/>
      <c r="AF139" s="484"/>
      <c r="AG139" s="484"/>
      <c r="AH139" s="484"/>
      <c r="AI139" s="484"/>
      <c r="AJ139" s="484"/>
      <c r="AK139" s="484"/>
      <c r="AL139" s="484"/>
      <c r="AM139" s="484"/>
      <c r="AN139" s="484"/>
      <c r="AO139" s="484"/>
    </row>
    <row r="140" spans="1:41" x14ac:dyDescent="0.35">
      <c r="A140" s="484"/>
      <c r="B140" s="484"/>
      <c r="C140" s="484"/>
      <c r="D140" s="484"/>
      <c r="E140" s="484"/>
      <c r="F140" s="484"/>
      <c r="G140" s="484"/>
      <c r="H140" s="484"/>
      <c r="I140" s="484"/>
      <c r="J140" s="484"/>
      <c r="K140" s="484"/>
      <c r="L140" s="484"/>
      <c r="M140" s="484"/>
      <c r="N140" s="484"/>
      <c r="O140" s="484"/>
      <c r="P140" s="484"/>
      <c r="Q140" s="484"/>
      <c r="R140" s="484"/>
      <c r="S140" s="484"/>
      <c r="T140" s="484"/>
      <c r="U140" s="484"/>
      <c r="V140" s="484"/>
      <c r="W140" s="484"/>
      <c r="X140" s="484"/>
      <c r="Y140" s="484"/>
      <c r="Z140" s="484"/>
      <c r="AA140" s="484"/>
      <c r="AB140" s="484"/>
      <c r="AC140" s="484"/>
      <c r="AD140" s="484"/>
      <c r="AE140" s="484"/>
      <c r="AF140" s="484"/>
      <c r="AG140" s="484"/>
      <c r="AH140" s="484"/>
      <c r="AI140" s="484"/>
      <c r="AJ140" s="484"/>
      <c r="AK140" s="484"/>
      <c r="AL140" s="484"/>
      <c r="AM140" s="484"/>
      <c r="AN140" s="484"/>
      <c r="AO140" s="484"/>
    </row>
    <row r="141" spans="1:41" x14ac:dyDescent="0.35">
      <c r="A141" s="484"/>
      <c r="B141" s="484"/>
      <c r="C141" s="484"/>
      <c r="D141" s="484"/>
      <c r="E141" s="484"/>
      <c r="F141" s="484"/>
      <c r="G141" s="484"/>
      <c r="H141" s="484"/>
      <c r="I141" s="484"/>
      <c r="J141" s="484"/>
      <c r="K141" s="484"/>
      <c r="L141" s="484"/>
      <c r="M141" s="484"/>
      <c r="N141" s="484"/>
      <c r="O141" s="484"/>
      <c r="P141" s="484"/>
      <c r="Q141" s="484"/>
      <c r="R141" s="484"/>
      <c r="S141" s="484"/>
      <c r="T141" s="484"/>
      <c r="U141" s="484"/>
      <c r="V141" s="484"/>
      <c r="W141" s="484"/>
      <c r="X141" s="484"/>
      <c r="Y141" s="484"/>
      <c r="Z141" s="484"/>
      <c r="AA141" s="484"/>
      <c r="AB141" s="484"/>
      <c r="AC141" s="484"/>
      <c r="AD141" s="484"/>
      <c r="AE141" s="484"/>
      <c r="AF141" s="484"/>
      <c r="AG141" s="484"/>
      <c r="AH141" s="484"/>
      <c r="AI141" s="484"/>
      <c r="AJ141" s="484"/>
      <c r="AK141" s="484"/>
      <c r="AL141" s="484"/>
      <c r="AM141" s="484"/>
      <c r="AN141" s="484"/>
      <c r="AO141" s="484"/>
    </row>
    <row r="142" spans="1:41" x14ac:dyDescent="0.35">
      <c r="A142" s="484"/>
      <c r="B142" s="484"/>
      <c r="C142" s="484"/>
      <c r="D142" s="484"/>
      <c r="E142" s="484"/>
      <c r="F142" s="484"/>
      <c r="G142" s="484"/>
      <c r="H142" s="484"/>
      <c r="I142" s="484"/>
      <c r="J142" s="484"/>
      <c r="K142" s="484"/>
      <c r="L142" s="484"/>
      <c r="M142" s="484"/>
      <c r="N142" s="484"/>
      <c r="O142" s="484"/>
      <c r="P142" s="484"/>
      <c r="Q142" s="484"/>
      <c r="R142" s="484"/>
      <c r="S142" s="484"/>
      <c r="T142" s="484"/>
      <c r="U142" s="484"/>
      <c r="V142" s="484"/>
      <c r="W142" s="484"/>
      <c r="X142" s="484"/>
      <c r="Y142" s="484"/>
      <c r="Z142" s="484"/>
      <c r="AA142" s="484"/>
      <c r="AB142" s="484"/>
      <c r="AC142" s="484"/>
      <c r="AD142" s="484"/>
      <c r="AE142" s="484"/>
      <c r="AF142" s="484"/>
      <c r="AG142" s="484"/>
      <c r="AH142" s="484"/>
      <c r="AI142" s="484"/>
      <c r="AJ142" s="484"/>
      <c r="AK142" s="484"/>
      <c r="AL142" s="484"/>
      <c r="AM142" s="484"/>
      <c r="AN142" s="484"/>
      <c r="AO142" s="484"/>
    </row>
    <row r="143" spans="1:41" x14ac:dyDescent="0.35">
      <c r="A143" s="484"/>
      <c r="B143" s="484"/>
      <c r="C143" s="484"/>
      <c r="D143" s="484"/>
      <c r="E143" s="484"/>
      <c r="F143" s="484"/>
      <c r="G143" s="484"/>
      <c r="H143" s="484"/>
      <c r="I143" s="484"/>
      <c r="J143" s="484"/>
      <c r="K143" s="484"/>
      <c r="L143" s="484"/>
      <c r="M143" s="484"/>
      <c r="N143" s="484"/>
      <c r="O143" s="484"/>
      <c r="P143" s="484"/>
      <c r="Q143" s="484"/>
      <c r="R143" s="484"/>
      <c r="S143" s="484"/>
      <c r="T143" s="484"/>
      <c r="U143" s="484"/>
      <c r="V143" s="484"/>
      <c r="W143" s="484"/>
      <c r="X143" s="484"/>
      <c r="Y143" s="484"/>
      <c r="Z143" s="484"/>
      <c r="AA143" s="484"/>
      <c r="AB143" s="484"/>
      <c r="AC143" s="484"/>
      <c r="AD143" s="484"/>
      <c r="AE143" s="484"/>
      <c r="AF143" s="484"/>
      <c r="AG143" s="484"/>
      <c r="AH143" s="484"/>
      <c r="AI143" s="484"/>
      <c r="AJ143" s="484"/>
      <c r="AK143" s="484"/>
      <c r="AL143" s="484"/>
      <c r="AM143" s="484"/>
      <c r="AN143" s="484"/>
      <c r="AO143" s="484"/>
    </row>
    <row r="144" spans="1:41" x14ac:dyDescent="0.35">
      <c r="A144" s="484"/>
      <c r="B144" s="484"/>
      <c r="C144" s="484"/>
      <c r="D144" s="484"/>
      <c r="E144" s="484"/>
      <c r="F144" s="484"/>
      <c r="G144" s="484"/>
      <c r="H144" s="484"/>
      <c r="I144" s="484"/>
      <c r="J144" s="484"/>
      <c r="K144" s="484"/>
      <c r="L144" s="484"/>
      <c r="M144" s="484"/>
      <c r="N144" s="484"/>
      <c r="O144" s="484"/>
      <c r="P144" s="484"/>
      <c r="Q144" s="484"/>
      <c r="R144" s="484"/>
      <c r="S144" s="484"/>
      <c r="T144" s="484"/>
      <c r="U144" s="484"/>
      <c r="V144" s="484"/>
      <c r="W144" s="484"/>
      <c r="X144" s="484"/>
      <c r="Y144" s="484"/>
      <c r="Z144" s="484"/>
      <c r="AA144" s="484"/>
      <c r="AB144" s="484"/>
      <c r="AC144" s="484"/>
      <c r="AD144" s="484"/>
      <c r="AE144" s="484"/>
      <c r="AF144" s="484"/>
      <c r="AG144" s="484"/>
      <c r="AH144" s="484"/>
      <c r="AI144" s="484"/>
      <c r="AJ144" s="484"/>
      <c r="AK144" s="484"/>
      <c r="AL144" s="484"/>
      <c r="AM144" s="484"/>
      <c r="AN144" s="484"/>
      <c r="AO144" s="484"/>
    </row>
    <row r="145" spans="1:41" x14ac:dyDescent="0.35">
      <c r="A145" s="484"/>
      <c r="B145" s="484"/>
      <c r="C145" s="484"/>
      <c r="D145" s="484"/>
      <c r="E145" s="484"/>
      <c r="F145" s="484"/>
      <c r="G145" s="484"/>
      <c r="H145" s="484"/>
      <c r="I145" s="484"/>
      <c r="J145" s="484"/>
      <c r="K145" s="484"/>
      <c r="L145" s="484"/>
      <c r="M145" s="484"/>
      <c r="N145" s="484"/>
      <c r="O145" s="484"/>
      <c r="P145" s="484"/>
      <c r="Q145" s="484"/>
      <c r="R145" s="484"/>
      <c r="S145" s="484"/>
      <c r="T145" s="484"/>
      <c r="U145" s="484"/>
      <c r="V145" s="484"/>
      <c r="W145" s="484"/>
      <c r="X145" s="484"/>
      <c r="Y145" s="484"/>
      <c r="Z145" s="484"/>
      <c r="AA145" s="484"/>
      <c r="AB145" s="484"/>
      <c r="AC145" s="484"/>
      <c r="AD145" s="484"/>
      <c r="AE145" s="484"/>
      <c r="AF145" s="484"/>
      <c r="AG145" s="484"/>
      <c r="AH145" s="484"/>
      <c r="AI145" s="484"/>
      <c r="AJ145" s="484"/>
      <c r="AK145" s="484"/>
      <c r="AL145" s="484"/>
      <c r="AM145" s="484"/>
      <c r="AN145" s="484"/>
      <c r="AO145" s="484"/>
    </row>
    <row r="146" spans="1:41" x14ac:dyDescent="0.35">
      <c r="A146" s="484"/>
      <c r="B146" s="484"/>
      <c r="C146" s="484"/>
      <c r="D146" s="484"/>
      <c r="E146" s="484"/>
      <c r="F146" s="484"/>
      <c r="G146" s="484"/>
      <c r="H146" s="484"/>
      <c r="I146" s="484"/>
      <c r="J146" s="484"/>
      <c r="K146" s="484"/>
      <c r="L146" s="484"/>
      <c r="M146" s="484"/>
      <c r="N146" s="484"/>
      <c r="O146" s="484"/>
      <c r="P146" s="484"/>
      <c r="Q146" s="484"/>
      <c r="R146" s="484"/>
      <c r="S146" s="484"/>
      <c r="T146" s="484"/>
      <c r="U146" s="484"/>
      <c r="V146" s="484"/>
      <c r="W146" s="484"/>
      <c r="X146" s="484"/>
      <c r="Y146" s="484"/>
      <c r="Z146" s="484"/>
      <c r="AA146" s="484"/>
      <c r="AB146" s="484"/>
      <c r="AC146" s="484"/>
      <c r="AD146" s="484"/>
      <c r="AE146" s="484"/>
      <c r="AF146" s="484"/>
      <c r="AG146" s="484"/>
      <c r="AH146" s="484"/>
      <c r="AI146" s="484"/>
      <c r="AJ146" s="484"/>
      <c r="AK146" s="484"/>
      <c r="AL146" s="484"/>
      <c r="AM146" s="484"/>
      <c r="AN146" s="484"/>
      <c r="AO146" s="484"/>
    </row>
    <row r="147" spans="1:41" x14ac:dyDescent="0.35">
      <c r="A147" s="484"/>
      <c r="B147" s="484"/>
      <c r="C147" s="484"/>
      <c r="D147" s="484"/>
      <c r="E147" s="484"/>
      <c r="F147" s="484"/>
      <c r="G147" s="484"/>
      <c r="H147" s="484"/>
      <c r="I147" s="484"/>
      <c r="J147" s="484"/>
      <c r="K147" s="484"/>
      <c r="L147" s="484"/>
      <c r="M147" s="484"/>
      <c r="N147" s="484"/>
      <c r="O147" s="484"/>
      <c r="P147" s="484"/>
      <c r="Q147" s="484"/>
      <c r="R147" s="484"/>
      <c r="S147" s="484"/>
      <c r="T147" s="484"/>
      <c r="U147" s="484"/>
      <c r="V147" s="484"/>
      <c r="W147" s="484"/>
      <c r="X147" s="484"/>
      <c r="Y147" s="484"/>
      <c r="Z147" s="484"/>
      <c r="AA147" s="484"/>
      <c r="AB147" s="484"/>
      <c r="AC147" s="484"/>
      <c r="AD147" s="484"/>
      <c r="AE147" s="484"/>
      <c r="AF147" s="484"/>
      <c r="AG147" s="484"/>
      <c r="AH147" s="484"/>
      <c r="AI147" s="484"/>
      <c r="AJ147" s="484"/>
      <c r="AK147" s="484"/>
      <c r="AL147" s="484"/>
      <c r="AM147" s="484"/>
      <c r="AN147" s="484"/>
      <c r="AO147" s="484"/>
    </row>
    <row r="148" spans="1:41" x14ac:dyDescent="0.35">
      <c r="A148" s="484"/>
      <c r="B148" s="484"/>
      <c r="C148" s="484"/>
      <c r="D148" s="484"/>
      <c r="E148" s="484"/>
      <c r="F148" s="484"/>
      <c r="G148" s="484"/>
      <c r="H148" s="484"/>
      <c r="I148" s="484"/>
      <c r="J148" s="484"/>
      <c r="K148" s="484"/>
      <c r="L148" s="484"/>
      <c r="M148" s="484"/>
      <c r="N148" s="484"/>
      <c r="O148" s="484"/>
      <c r="P148" s="484"/>
      <c r="Q148" s="484"/>
      <c r="R148" s="484"/>
      <c r="S148" s="484"/>
      <c r="T148" s="484"/>
      <c r="U148" s="484"/>
      <c r="V148" s="484"/>
      <c r="W148" s="484"/>
      <c r="X148" s="484"/>
      <c r="Y148" s="484"/>
      <c r="Z148" s="484"/>
      <c r="AA148" s="484"/>
      <c r="AB148" s="484"/>
      <c r="AC148" s="484"/>
      <c r="AD148" s="484"/>
      <c r="AE148" s="484"/>
      <c r="AF148" s="484"/>
      <c r="AG148" s="484"/>
      <c r="AH148" s="484"/>
      <c r="AI148" s="484"/>
      <c r="AJ148" s="484"/>
      <c r="AK148" s="484"/>
      <c r="AL148" s="484"/>
      <c r="AM148" s="484"/>
      <c r="AN148" s="484"/>
      <c r="AO148" s="484"/>
    </row>
    <row r="149" spans="1:41" x14ac:dyDescent="0.35">
      <c r="A149" s="484"/>
      <c r="B149" s="484"/>
      <c r="C149" s="484"/>
      <c r="D149" s="484"/>
      <c r="E149" s="484"/>
      <c r="F149" s="484"/>
      <c r="G149" s="484"/>
      <c r="H149" s="484"/>
      <c r="I149" s="484"/>
      <c r="J149" s="484"/>
      <c r="K149" s="484"/>
      <c r="L149" s="484"/>
      <c r="M149" s="484"/>
      <c r="N149" s="484"/>
      <c r="O149" s="484"/>
      <c r="P149" s="484"/>
      <c r="Q149" s="484"/>
      <c r="R149" s="484"/>
      <c r="S149" s="484"/>
      <c r="T149" s="484"/>
      <c r="U149" s="484"/>
      <c r="V149" s="484"/>
      <c r="W149" s="484"/>
      <c r="X149" s="484"/>
      <c r="Y149" s="484"/>
      <c r="Z149" s="484"/>
      <c r="AA149" s="484"/>
      <c r="AB149" s="484"/>
      <c r="AC149" s="484"/>
      <c r="AD149" s="484"/>
      <c r="AE149" s="484"/>
      <c r="AF149" s="484"/>
      <c r="AG149" s="484"/>
      <c r="AH149" s="484"/>
      <c r="AI149" s="484"/>
      <c r="AJ149" s="484"/>
      <c r="AK149" s="484"/>
      <c r="AL149" s="484"/>
      <c r="AM149" s="484"/>
      <c r="AN149" s="484"/>
      <c r="AO149" s="484"/>
    </row>
    <row r="150" spans="1:41" x14ac:dyDescent="0.35">
      <c r="A150" s="484"/>
      <c r="B150" s="484"/>
      <c r="C150" s="484"/>
      <c r="D150" s="484"/>
      <c r="E150" s="484"/>
      <c r="F150" s="484"/>
      <c r="G150" s="484"/>
      <c r="H150" s="484"/>
      <c r="I150" s="484"/>
      <c r="J150" s="484"/>
      <c r="K150" s="484"/>
      <c r="L150" s="484"/>
      <c r="M150" s="484"/>
      <c r="N150" s="484"/>
      <c r="O150" s="484"/>
      <c r="P150" s="484"/>
      <c r="Q150" s="484"/>
      <c r="R150" s="484"/>
      <c r="S150" s="484"/>
      <c r="T150" s="484"/>
      <c r="U150" s="484"/>
      <c r="V150" s="484"/>
      <c r="W150" s="484"/>
      <c r="X150" s="484"/>
      <c r="Y150" s="484"/>
      <c r="Z150" s="484"/>
      <c r="AA150" s="484"/>
      <c r="AB150" s="484"/>
      <c r="AC150" s="484"/>
      <c r="AD150" s="484"/>
      <c r="AE150" s="484"/>
      <c r="AF150" s="484"/>
      <c r="AG150" s="484"/>
      <c r="AH150" s="484"/>
      <c r="AI150" s="484"/>
      <c r="AJ150" s="484"/>
      <c r="AK150" s="484"/>
      <c r="AL150" s="484"/>
      <c r="AM150" s="484"/>
      <c r="AN150" s="484"/>
      <c r="AO150" s="484"/>
    </row>
    <row r="151" spans="1:41" x14ac:dyDescent="0.35">
      <c r="A151" s="484"/>
      <c r="B151" s="484"/>
      <c r="C151" s="484"/>
      <c r="D151" s="484"/>
      <c r="E151" s="484"/>
      <c r="F151" s="484"/>
      <c r="G151" s="484"/>
      <c r="H151" s="484"/>
      <c r="I151" s="484"/>
      <c r="J151" s="484"/>
      <c r="K151" s="484"/>
      <c r="L151" s="484"/>
      <c r="M151" s="484"/>
      <c r="N151" s="484"/>
      <c r="O151" s="484"/>
      <c r="P151" s="484"/>
      <c r="Q151" s="484"/>
      <c r="R151" s="484"/>
      <c r="S151" s="484"/>
      <c r="T151" s="484"/>
      <c r="U151" s="484"/>
      <c r="V151" s="484"/>
      <c r="W151" s="484"/>
      <c r="X151" s="484"/>
      <c r="Y151" s="484"/>
      <c r="Z151" s="484"/>
      <c r="AA151" s="484"/>
      <c r="AB151" s="484"/>
      <c r="AC151" s="484"/>
      <c r="AD151" s="484"/>
      <c r="AE151" s="484"/>
      <c r="AF151" s="484"/>
      <c r="AG151" s="484"/>
      <c r="AH151" s="484"/>
      <c r="AI151" s="484"/>
      <c r="AJ151" s="484"/>
      <c r="AK151" s="484"/>
      <c r="AL151" s="484"/>
      <c r="AM151" s="484"/>
      <c r="AN151" s="484"/>
      <c r="AO151" s="484"/>
    </row>
    <row r="152" spans="1:41" x14ac:dyDescent="0.35">
      <c r="A152" s="484"/>
      <c r="B152" s="484"/>
      <c r="C152" s="484"/>
      <c r="D152" s="484"/>
      <c r="E152" s="484"/>
      <c r="F152" s="484"/>
      <c r="G152" s="484"/>
      <c r="H152" s="484"/>
      <c r="I152" s="484"/>
      <c r="J152" s="484"/>
      <c r="K152" s="484"/>
      <c r="L152" s="484"/>
      <c r="M152" s="484"/>
      <c r="N152" s="484"/>
      <c r="O152" s="484"/>
      <c r="P152" s="484"/>
      <c r="Q152" s="484"/>
      <c r="R152" s="484"/>
      <c r="S152" s="484"/>
      <c r="T152" s="484"/>
      <c r="U152" s="484"/>
      <c r="V152" s="484"/>
      <c r="W152" s="484"/>
      <c r="X152" s="484"/>
      <c r="Y152" s="484"/>
      <c r="Z152" s="484"/>
      <c r="AA152" s="484"/>
      <c r="AB152" s="484"/>
      <c r="AC152" s="484"/>
      <c r="AD152" s="484"/>
      <c r="AE152" s="484"/>
      <c r="AF152" s="484"/>
      <c r="AG152" s="484"/>
      <c r="AH152" s="484"/>
      <c r="AI152" s="484"/>
      <c r="AJ152" s="484"/>
      <c r="AK152" s="484"/>
      <c r="AL152" s="484"/>
      <c r="AM152" s="484"/>
      <c r="AN152" s="484"/>
      <c r="AO152" s="484"/>
    </row>
    <row r="153" spans="1:41" x14ac:dyDescent="0.35">
      <c r="A153" s="484"/>
      <c r="B153" s="484"/>
      <c r="C153" s="484"/>
      <c r="D153" s="484"/>
      <c r="E153" s="484"/>
      <c r="F153" s="484"/>
      <c r="G153" s="484"/>
      <c r="H153" s="484"/>
      <c r="I153" s="484"/>
      <c r="J153" s="484"/>
      <c r="K153" s="484"/>
      <c r="L153" s="484"/>
      <c r="M153" s="484"/>
      <c r="N153" s="484"/>
      <c r="O153" s="484"/>
      <c r="P153" s="484"/>
      <c r="Q153" s="484"/>
      <c r="R153" s="484"/>
      <c r="S153" s="484"/>
      <c r="T153" s="484"/>
      <c r="U153" s="484"/>
      <c r="V153" s="484"/>
      <c r="W153" s="484"/>
      <c r="X153" s="484"/>
      <c r="Y153" s="484"/>
      <c r="Z153" s="484"/>
      <c r="AA153" s="484"/>
      <c r="AB153" s="484"/>
      <c r="AC153" s="484"/>
      <c r="AD153" s="484"/>
      <c r="AE153" s="484"/>
      <c r="AF153" s="484"/>
      <c r="AG153" s="484"/>
      <c r="AH153" s="484"/>
      <c r="AI153" s="484"/>
      <c r="AJ153" s="484"/>
      <c r="AK153" s="484"/>
      <c r="AL153" s="484"/>
      <c r="AM153" s="484"/>
      <c r="AN153" s="484"/>
      <c r="AO153" s="484"/>
    </row>
    <row r="154" spans="1:41" x14ac:dyDescent="0.35">
      <c r="A154" s="484"/>
      <c r="B154" s="484"/>
      <c r="C154" s="484"/>
      <c r="D154" s="484"/>
      <c r="E154" s="484"/>
      <c r="F154" s="484"/>
      <c r="G154" s="484"/>
      <c r="H154" s="484"/>
      <c r="I154" s="484"/>
      <c r="J154" s="484"/>
      <c r="K154" s="484"/>
      <c r="L154" s="484"/>
      <c r="M154" s="484"/>
      <c r="N154" s="484"/>
      <c r="O154" s="484"/>
      <c r="P154" s="484"/>
      <c r="Q154" s="484"/>
      <c r="R154" s="484"/>
      <c r="S154" s="484"/>
      <c r="T154" s="484"/>
      <c r="U154" s="484"/>
      <c r="V154" s="484"/>
      <c r="W154" s="484"/>
      <c r="X154" s="484"/>
      <c r="Y154" s="484"/>
      <c r="Z154" s="484"/>
      <c r="AA154" s="484"/>
      <c r="AB154" s="484"/>
      <c r="AC154" s="484"/>
      <c r="AD154" s="484"/>
      <c r="AE154" s="484"/>
      <c r="AF154" s="484"/>
      <c r="AG154" s="484"/>
      <c r="AH154" s="484"/>
      <c r="AI154" s="484"/>
      <c r="AJ154" s="484"/>
      <c r="AK154" s="484"/>
      <c r="AL154" s="484"/>
      <c r="AM154" s="484"/>
      <c r="AN154" s="484"/>
      <c r="AO154" s="484"/>
    </row>
    <row r="155" spans="1:41" x14ac:dyDescent="0.35">
      <c r="A155" s="484"/>
      <c r="B155" s="484"/>
      <c r="C155" s="484"/>
      <c r="D155" s="484"/>
      <c r="E155" s="484"/>
      <c r="F155" s="484"/>
      <c r="G155" s="484"/>
      <c r="H155" s="484"/>
      <c r="I155" s="484"/>
      <c r="J155" s="484"/>
      <c r="K155" s="484"/>
      <c r="L155" s="484"/>
      <c r="M155" s="484"/>
      <c r="N155" s="484"/>
      <c r="O155" s="484"/>
      <c r="P155" s="484"/>
      <c r="Q155" s="484"/>
      <c r="R155" s="484"/>
      <c r="S155" s="484"/>
      <c r="T155" s="484"/>
      <c r="U155" s="484"/>
      <c r="V155" s="484"/>
      <c r="W155" s="484"/>
      <c r="X155" s="484"/>
      <c r="Y155" s="484"/>
      <c r="Z155" s="484"/>
      <c r="AA155" s="484"/>
      <c r="AB155" s="484"/>
      <c r="AC155" s="484"/>
      <c r="AD155" s="484"/>
      <c r="AE155" s="484"/>
      <c r="AF155" s="484"/>
      <c r="AG155" s="484"/>
      <c r="AH155" s="484"/>
      <c r="AI155" s="484"/>
      <c r="AJ155" s="484"/>
      <c r="AK155" s="484"/>
      <c r="AL155" s="484"/>
      <c r="AM155" s="484"/>
      <c r="AN155" s="484"/>
      <c r="AO155" s="484"/>
    </row>
    <row r="156" spans="1:41" x14ac:dyDescent="0.35">
      <c r="A156" s="484"/>
      <c r="B156" s="484"/>
      <c r="C156" s="484"/>
      <c r="D156" s="484"/>
      <c r="E156" s="484"/>
      <c r="F156" s="484"/>
      <c r="G156" s="484"/>
      <c r="H156" s="484"/>
      <c r="I156" s="484"/>
      <c r="J156" s="484"/>
      <c r="K156" s="484"/>
      <c r="L156" s="484"/>
      <c r="M156" s="484"/>
      <c r="N156" s="484"/>
      <c r="O156" s="484"/>
      <c r="P156" s="484"/>
      <c r="Q156" s="484"/>
      <c r="R156" s="484"/>
      <c r="S156" s="484"/>
      <c r="T156" s="484"/>
      <c r="U156" s="484"/>
      <c r="V156" s="484"/>
      <c r="W156" s="484"/>
      <c r="X156" s="484"/>
      <c r="Y156" s="484"/>
      <c r="Z156" s="484"/>
      <c r="AA156" s="484"/>
      <c r="AB156" s="484"/>
      <c r="AC156" s="484"/>
      <c r="AD156" s="484"/>
      <c r="AE156" s="484"/>
      <c r="AF156" s="484"/>
      <c r="AG156" s="484"/>
      <c r="AH156" s="484"/>
      <c r="AI156" s="484"/>
      <c r="AJ156" s="484"/>
      <c r="AK156" s="484"/>
      <c r="AL156" s="484"/>
      <c r="AM156" s="484"/>
      <c r="AN156" s="484"/>
      <c r="AO156" s="484"/>
    </row>
    <row r="157" spans="1:41" x14ac:dyDescent="0.35">
      <c r="A157" s="484"/>
      <c r="B157" s="484"/>
      <c r="C157" s="484"/>
      <c r="D157" s="484"/>
      <c r="E157" s="484"/>
      <c r="F157" s="484"/>
      <c r="G157" s="484"/>
      <c r="H157" s="484"/>
      <c r="I157" s="484"/>
      <c r="J157" s="484"/>
      <c r="K157" s="484"/>
      <c r="L157" s="484"/>
      <c r="M157" s="484"/>
      <c r="N157" s="484"/>
      <c r="O157" s="484"/>
      <c r="P157" s="484"/>
      <c r="Q157" s="484"/>
      <c r="R157" s="484"/>
      <c r="S157" s="484"/>
      <c r="T157" s="484"/>
      <c r="U157" s="484"/>
      <c r="V157" s="484"/>
      <c r="W157" s="484"/>
      <c r="X157" s="484"/>
      <c r="Y157" s="484"/>
      <c r="Z157" s="484"/>
      <c r="AA157" s="484"/>
      <c r="AB157" s="484"/>
      <c r="AC157" s="484"/>
      <c r="AD157" s="484"/>
      <c r="AE157" s="484"/>
      <c r="AF157" s="484"/>
      <c r="AG157" s="484"/>
      <c r="AH157" s="484"/>
      <c r="AI157" s="484"/>
      <c r="AJ157" s="484"/>
      <c r="AK157" s="484"/>
      <c r="AL157" s="484"/>
      <c r="AM157" s="484"/>
      <c r="AN157" s="484"/>
      <c r="AO157" s="484"/>
    </row>
    <row r="158" spans="1:41" x14ac:dyDescent="0.35">
      <c r="A158" s="484"/>
      <c r="B158" s="484"/>
      <c r="C158" s="484"/>
      <c r="D158" s="484"/>
      <c r="E158" s="484"/>
      <c r="F158" s="484"/>
      <c r="G158" s="484"/>
      <c r="H158" s="484"/>
      <c r="I158" s="484"/>
      <c r="J158" s="484"/>
      <c r="K158" s="484"/>
      <c r="L158" s="484"/>
      <c r="M158" s="484"/>
      <c r="N158" s="484"/>
      <c r="O158" s="484"/>
      <c r="P158" s="484"/>
      <c r="Q158" s="484"/>
      <c r="R158" s="484"/>
      <c r="S158" s="484"/>
      <c r="T158" s="484"/>
      <c r="U158" s="484"/>
      <c r="V158" s="484"/>
      <c r="W158" s="484"/>
      <c r="X158" s="484"/>
      <c r="Y158" s="484"/>
      <c r="Z158" s="484"/>
      <c r="AA158" s="484"/>
      <c r="AB158" s="484"/>
      <c r="AC158" s="484"/>
      <c r="AD158" s="484"/>
      <c r="AE158" s="484"/>
      <c r="AF158" s="484"/>
      <c r="AG158" s="484"/>
      <c r="AH158" s="484"/>
      <c r="AI158" s="484"/>
      <c r="AJ158" s="484"/>
      <c r="AK158" s="484"/>
      <c r="AL158" s="484"/>
      <c r="AM158" s="484"/>
      <c r="AN158" s="484"/>
      <c r="AO158" s="484"/>
    </row>
    <row r="159" spans="1:41" x14ac:dyDescent="0.35">
      <c r="A159" s="484"/>
      <c r="B159" s="484"/>
      <c r="C159" s="484"/>
      <c r="D159" s="484"/>
      <c r="E159" s="484"/>
      <c r="F159" s="484"/>
      <c r="G159" s="484"/>
      <c r="H159" s="484"/>
      <c r="I159" s="484"/>
      <c r="J159" s="484"/>
      <c r="K159" s="484"/>
      <c r="L159" s="484"/>
      <c r="M159" s="484"/>
      <c r="N159" s="484"/>
      <c r="O159" s="484"/>
      <c r="P159" s="484"/>
      <c r="Q159" s="484"/>
      <c r="R159" s="484"/>
      <c r="S159" s="484"/>
      <c r="T159" s="484"/>
      <c r="U159" s="484"/>
      <c r="V159" s="484"/>
      <c r="W159" s="484"/>
      <c r="X159" s="484"/>
      <c r="Y159" s="484"/>
      <c r="Z159" s="484"/>
      <c r="AA159" s="484"/>
      <c r="AB159" s="484"/>
      <c r="AC159" s="484"/>
      <c r="AD159" s="484"/>
      <c r="AE159" s="484"/>
      <c r="AF159" s="484"/>
      <c r="AG159" s="484"/>
      <c r="AH159" s="484"/>
      <c r="AI159" s="484"/>
      <c r="AJ159" s="484"/>
      <c r="AK159" s="484"/>
      <c r="AL159" s="484"/>
      <c r="AM159" s="484"/>
      <c r="AN159" s="484"/>
      <c r="AO159" s="484"/>
    </row>
    <row r="160" spans="1:41" x14ac:dyDescent="0.35">
      <c r="A160" s="484"/>
      <c r="B160" s="484"/>
      <c r="C160" s="484"/>
      <c r="D160" s="484"/>
      <c r="E160" s="484"/>
      <c r="F160" s="484"/>
      <c r="G160" s="484"/>
      <c r="H160" s="484"/>
      <c r="I160" s="484"/>
      <c r="J160" s="484"/>
      <c r="K160" s="484"/>
      <c r="L160" s="484"/>
      <c r="M160" s="484"/>
      <c r="N160" s="484"/>
      <c r="O160" s="484"/>
      <c r="P160" s="484"/>
      <c r="Q160" s="484"/>
      <c r="R160" s="484"/>
      <c r="S160" s="484"/>
      <c r="T160" s="484"/>
      <c r="U160" s="484"/>
      <c r="V160" s="484"/>
      <c r="W160" s="484"/>
      <c r="X160" s="484"/>
      <c r="Y160" s="484"/>
      <c r="Z160" s="484"/>
      <c r="AA160" s="484"/>
      <c r="AB160" s="484"/>
      <c r="AC160" s="484"/>
      <c r="AD160" s="484"/>
      <c r="AE160" s="484"/>
      <c r="AF160" s="484"/>
      <c r="AG160" s="484"/>
      <c r="AH160" s="484"/>
      <c r="AI160" s="484"/>
      <c r="AJ160" s="484"/>
      <c r="AK160" s="484"/>
      <c r="AL160" s="484"/>
      <c r="AM160" s="484"/>
      <c r="AN160" s="484"/>
      <c r="AO160" s="484"/>
    </row>
    <row r="161" spans="1:41" x14ac:dyDescent="0.35">
      <c r="A161" s="484"/>
      <c r="B161" s="484"/>
      <c r="C161" s="484"/>
      <c r="D161" s="484"/>
      <c r="E161" s="484"/>
      <c r="F161" s="484"/>
      <c r="G161" s="484"/>
      <c r="H161" s="484"/>
      <c r="I161" s="484"/>
      <c r="J161" s="484"/>
      <c r="K161" s="484"/>
      <c r="L161" s="484"/>
      <c r="M161" s="484"/>
      <c r="N161" s="484"/>
      <c r="O161" s="484"/>
      <c r="P161" s="484"/>
      <c r="Q161" s="484"/>
      <c r="R161" s="484"/>
      <c r="S161" s="484"/>
      <c r="T161" s="484"/>
      <c r="U161" s="484"/>
      <c r="V161" s="484"/>
      <c r="W161" s="484"/>
      <c r="X161" s="484"/>
      <c r="Y161" s="484"/>
      <c r="Z161" s="484"/>
      <c r="AA161" s="484"/>
      <c r="AB161" s="484"/>
      <c r="AC161" s="484"/>
      <c r="AD161" s="484"/>
      <c r="AE161" s="484"/>
      <c r="AF161" s="484"/>
      <c r="AG161" s="484"/>
      <c r="AH161" s="484"/>
      <c r="AI161" s="484"/>
      <c r="AJ161" s="484"/>
      <c r="AK161" s="484"/>
      <c r="AL161" s="484"/>
      <c r="AM161" s="484"/>
      <c r="AN161" s="484"/>
      <c r="AO161" s="484"/>
    </row>
    <row r="162" spans="1:41" x14ac:dyDescent="0.35">
      <c r="A162" s="484"/>
      <c r="B162" s="484"/>
      <c r="C162" s="484"/>
      <c r="D162" s="484"/>
      <c r="E162" s="484"/>
      <c r="F162" s="484"/>
      <c r="G162" s="484"/>
      <c r="H162" s="484"/>
      <c r="I162" s="484"/>
      <c r="J162" s="484"/>
      <c r="K162" s="484"/>
      <c r="L162" s="484"/>
      <c r="M162" s="484"/>
      <c r="N162" s="484"/>
      <c r="O162" s="484"/>
      <c r="P162" s="484"/>
      <c r="Q162" s="484"/>
      <c r="R162" s="484"/>
      <c r="S162" s="484"/>
      <c r="T162" s="484"/>
      <c r="U162" s="484"/>
      <c r="V162" s="484"/>
      <c r="W162" s="484"/>
      <c r="X162" s="484"/>
      <c r="Y162" s="484"/>
      <c r="Z162" s="484"/>
      <c r="AA162" s="484"/>
      <c r="AB162" s="484"/>
      <c r="AC162" s="484"/>
      <c r="AD162" s="484"/>
      <c r="AE162" s="484"/>
      <c r="AF162" s="484"/>
      <c r="AG162" s="484"/>
      <c r="AH162" s="484"/>
      <c r="AI162" s="484"/>
      <c r="AJ162" s="484"/>
      <c r="AK162" s="484"/>
      <c r="AL162" s="484"/>
      <c r="AM162" s="484"/>
      <c r="AN162" s="484"/>
      <c r="AO162" s="484"/>
    </row>
    <row r="163" spans="1:41" x14ac:dyDescent="0.35">
      <c r="A163" s="484"/>
      <c r="B163" s="484"/>
      <c r="C163" s="484"/>
      <c r="D163" s="484"/>
      <c r="E163" s="484"/>
      <c r="F163" s="484"/>
      <c r="G163" s="484"/>
      <c r="H163" s="484"/>
      <c r="I163" s="484"/>
      <c r="J163" s="484"/>
      <c r="K163" s="484"/>
      <c r="L163" s="484"/>
      <c r="M163" s="484"/>
      <c r="N163" s="484"/>
      <c r="O163" s="484"/>
      <c r="P163" s="484"/>
      <c r="Q163" s="484"/>
      <c r="R163" s="484"/>
      <c r="S163" s="484"/>
      <c r="T163" s="484"/>
      <c r="U163" s="484"/>
      <c r="V163" s="484"/>
      <c r="W163" s="484"/>
      <c r="X163" s="484"/>
      <c r="Y163" s="484"/>
      <c r="Z163" s="484"/>
      <c r="AA163" s="484"/>
      <c r="AB163" s="484"/>
      <c r="AC163" s="484"/>
      <c r="AD163" s="484"/>
      <c r="AE163" s="484"/>
      <c r="AF163" s="484"/>
      <c r="AG163" s="484"/>
      <c r="AH163" s="484"/>
      <c r="AI163" s="484"/>
      <c r="AJ163" s="484"/>
      <c r="AK163" s="484"/>
      <c r="AL163" s="484"/>
      <c r="AM163" s="484"/>
      <c r="AN163" s="484"/>
      <c r="AO163" s="484"/>
    </row>
    <row r="164" spans="1:41" x14ac:dyDescent="0.35">
      <c r="A164" s="484"/>
      <c r="B164" s="484"/>
      <c r="C164" s="484"/>
      <c r="D164" s="484"/>
      <c r="E164" s="484"/>
      <c r="F164" s="484"/>
      <c r="G164" s="484"/>
      <c r="H164" s="484"/>
      <c r="I164" s="484"/>
      <c r="J164" s="484"/>
      <c r="K164" s="484"/>
      <c r="L164" s="484"/>
      <c r="M164" s="484"/>
      <c r="N164" s="484"/>
      <c r="O164" s="484"/>
      <c r="P164" s="484"/>
      <c r="Q164" s="484"/>
      <c r="R164" s="484"/>
      <c r="S164" s="484"/>
      <c r="T164" s="484"/>
      <c r="U164" s="484"/>
      <c r="V164" s="484"/>
      <c r="W164" s="484"/>
      <c r="X164" s="484"/>
      <c r="Y164" s="484"/>
      <c r="Z164" s="484"/>
      <c r="AA164" s="484"/>
      <c r="AB164" s="484"/>
      <c r="AC164" s="484"/>
      <c r="AD164" s="484"/>
      <c r="AE164" s="484"/>
      <c r="AF164" s="484"/>
      <c r="AG164" s="484"/>
      <c r="AH164" s="484"/>
      <c r="AI164" s="484"/>
      <c r="AJ164" s="484"/>
      <c r="AK164" s="484"/>
      <c r="AL164" s="484"/>
      <c r="AM164" s="484"/>
      <c r="AN164" s="484"/>
      <c r="AO164" s="484"/>
    </row>
    <row r="165" spans="1:41" x14ac:dyDescent="0.35">
      <c r="A165" s="484"/>
      <c r="B165" s="484"/>
      <c r="C165" s="484"/>
      <c r="D165" s="484"/>
      <c r="E165" s="484"/>
      <c r="F165" s="484"/>
      <c r="G165" s="484"/>
      <c r="H165" s="484"/>
      <c r="I165" s="484"/>
      <c r="J165" s="484"/>
      <c r="K165" s="484"/>
      <c r="L165" s="484"/>
      <c r="M165" s="484"/>
      <c r="N165" s="484"/>
      <c r="O165" s="484"/>
      <c r="P165" s="484"/>
      <c r="Q165" s="484"/>
      <c r="R165" s="484"/>
      <c r="S165" s="484"/>
      <c r="T165" s="484"/>
      <c r="U165" s="484"/>
      <c r="V165" s="484"/>
      <c r="W165" s="484"/>
      <c r="X165" s="484"/>
      <c r="Y165" s="484"/>
      <c r="Z165" s="484"/>
      <c r="AA165" s="484"/>
      <c r="AB165" s="484"/>
      <c r="AC165" s="484"/>
      <c r="AD165" s="484"/>
      <c r="AE165" s="484"/>
      <c r="AF165" s="484"/>
      <c r="AG165" s="484"/>
      <c r="AH165" s="484"/>
      <c r="AI165" s="484"/>
      <c r="AJ165" s="484"/>
      <c r="AK165" s="484"/>
      <c r="AL165" s="484"/>
      <c r="AM165" s="484"/>
      <c r="AN165" s="484"/>
      <c r="AO165" s="484"/>
    </row>
    <row r="166" spans="1:41" x14ac:dyDescent="0.35">
      <c r="A166" s="484"/>
      <c r="B166" s="484"/>
      <c r="C166" s="484"/>
      <c r="D166" s="484"/>
      <c r="E166" s="484"/>
      <c r="F166" s="484"/>
      <c r="G166" s="484"/>
      <c r="H166" s="484"/>
      <c r="I166" s="484"/>
      <c r="J166" s="484"/>
      <c r="K166" s="484"/>
      <c r="L166" s="484"/>
      <c r="M166" s="484"/>
      <c r="N166" s="484"/>
      <c r="O166" s="484"/>
      <c r="P166" s="484"/>
      <c r="Q166" s="484"/>
      <c r="R166" s="484"/>
      <c r="S166" s="484"/>
      <c r="T166" s="484"/>
      <c r="U166" s="484"/>
      <c r="V166" s="484"/>
      <c r="W166" s="484"/>
      <c r="X166" s="484"/>
      <c r="Y166" s="484"/>
      <c r="Z166" s="484"/>
      <c r="AA166" s="484"/>
      <c r="AB166" s="484"/>
      <c r="AC166" s="484"/>
      <c r="AD166" s="484"/>
      <c r="AE166" s="484"/>
      <c r="AF166" s="484"/>
      <c r="AG166" s="484"/>
      <c r="AH166" s="484"/>
      <c r="AI166" s="484"/>
      <c r="AJ166" s="484"/>
      <c r="AK166" s="484"/>
      <c r="AL166" s="484"/>
      <c r="AM166" s="484"/>
      <c r="AN166" s="484"/>
      <c r="AO166" s="484"/>
    </row>
    <row r="167" spans="1:41" x14ac:dyDescent="0.35">
      <c r="A167" s="484"/>
      <c r="B167" s="484"/>
      <c r="C167" s="484"/>
      <c r="D167" s="484"/>
      <c r="E167" s="484"/>
      <c r="F167" s="484"/>
      <c r="G167" s="484"/>
      <c r="H167" s="484"/>
      <c r="I167" s="484"/>
      <c r="J167" s="484"/>
      <c r="K167" s="484"/>
      <c r="L167" s="484"/>
      <c r="M167" s="484"/>
      <c r="N167" s="484"/>
      <c r="O167" s="484"/>
      <c r="P167" s="484"/>
      <c r="Q167" s="484"/>
      <c r="R167" s="484"/>
      <c r="S167" s="484"/>
      <c r="T167" s="484"/>
      <c r="U167" s="484"/>
      <c r="V167" s="484"/>
      <c r="W167" s="484"/>
      <c r="X167" s="484"/>
      <c r="Y167" s="484"/>
      <c r="Z167" s="484"/>
      <c r="AA167" s="484"/>
      <c r="AB167" s="484"/>
      <c r="AC167" s="484"/>
      <c r="AD167" s="484"/>
      <c r="AE167" s="484"/>
      <c r="AF167" s="484"/>
      <c r="AG167" s="484"/>
      <c r="AH167" s="484"/>
      <c r="AI167" s="484"/>
      <c r="AJ167" s="484"/>
      <c r="AK167" s="484"/>
      <c r="AL167" s="484"/>
      <c r="AM167" s="484"/>
      <c r="AN167" s="484"/>
      <c r="AO167" s="484"/>
    </row>
    <row r="168" spans="1:41" x14ac:dyDescent="0.35">
      <c r="A168" s="484"/>
      <c r="B168" s="484"/>
      <c r="C168" s="484"/>
      <c r="D168" s="484"/>
      <c r="E168" s="484"/>
      <c r="F168" s="484"/>
      <c r="G168" s="484"/>
      <c r="H168" s="484"/>
      <c r="I168" s="484"/>
      <c r="J168" s="484"/>
      <c r="K168" s="484"/>
      <c r="L168" s="484"/>
      <c r="M168" s="484"/>
      <c r="N168" s="484"/>
      <c r="O168" s="484"/>
      <c r="P168" s="484"/>
      <c r="Q168" s="484"/>
      <c r="R168" s="484"/>
      <c r="S168" s="484"/>
      <c r="T168" s="484"/>
      <c r="U168" s="484"/>
      <c r="V168" s="484"/>
      <c r="W168" s="484"/>
      <c r="X168" s="484"/>
      <c r="Y168" s="484"/>
      <c r="Z168" s="484"/>
      <c r="AA168" s="484"/>
      <c r="AB168" s="484"/>
      <c r="AC168" s="484"/>
      <c r="AD168" s="484"/>
      <c r="AE168" s="484"/>
      <c r="AF168" s="484"/>
      <c r="AG168" s="484"/>
      <c r="AH168" s="484"/>
      <c r="AI168" s="484"/>
      <c r="AJ168" s="484"/>
      <c r="AK168" s="484"/>
      <c r="AL168" s="484"/>
      <c r="AM168" s="484"/>
      <c r="AN168" s="484"/>
      <c r="AO168" s="484"/>
    </row>
    <row r="169" spans="1:41" x14ac:dyDescent="0.35">
      <c r="A169" s="484"/>
      <c r="B169" s="484"/>
      <c r="C169" s="484"/>
      <c r="D169" s="484"/>
      <c r="E169" s="484"/>
      <c r="F169" s="484"/>
      <c r="G169" s="484"/>
      <c r="H169" s="484"/>
      <c r="I169" s="484"/>
      <c r="J169" s="484"/>
      <c r="K169" s="484"/>
      <c r="L169" s="484"/>
      <c r="M169" s="484"/>
      <c r="N169" s="484"/>
      <c r="O169" s="484"/>
      <c r="P169" s="484"/>
      <c r="Q169" s="484"/>
      <c r="R169" s="484"/>
      <c r="S169" s="484"/>
      <c r="T169" s="484"/>
      <c r="U169" s="484"/>
      <c r="V169" s="484"/>
      <c r="W169" s="484"/>
      <c r="X169" s="484"/>
      <c r="Y169" s="484"/>
      <c r="Z169" s="484"/>
      <c r="AA169" s="484"/>
      <c r="AB169" s="484"/>
      <c r="AC169" s="484"/>
      <c r="AD169" s="484"/>
      <c r="AE169" s="484"/>
      <c r="AF169" s="484"/>
      <c r="AG169" s="484"/>
      <c r="AH169" s="484"/>
      <c r="AI169" s="484"/>
      <c r="AJ169" s="484"/>
      <c r="AK169" s="484"/>
      <c r="AL169" s="484"/>
      <c r="AM169" s="484"/>
      <c r="AN169" s="484"/>
      <c r="AO169" s="484"/>
    </row>
    <row r="170" spans="1:41" x14ac:dyDescent="0.35">
      <c r="A170" s="484"/>
      <c r="B170" s="484"/>
      <c r="C170" s="484"/>
      <c r="D170" s="484"/>
      <c r="E170" s="484"/>
      <c r="F170" s="484"/>
      <c r="G170" s="484"/>
      <c r="H170" s="484"/>
      <c r="I170" s="484"/>
      <c r="J170" s="484"/>
      <c r="K170" s="484"/>
      <c r="L170" s="484"/>
      <c r="M170" s="484"/>
      <c r="N170" s="484"/>
      <c r="O170" s="484"/>
      <c r="P170" s="484"/>
      <c r="Q170" s="484"/>
      <c r="R170" s="484"/>
      <c r="S170" s="484"/>
      <c r="T170" s="484"/>
      <c r="U170" s="484"/>
      <c r="V170" s="484"/>
      <c r="W170" s="484"/>
      <c r="X170" s="484"/>
      <c r="Y170" s="484"/>
      <c r="Z170" s="484"/>
      <c r="AA170" s="484"/>
      <c r="AB170" s="484"/>
      <c r="AC170" s="484"/>
      <c r="AD170" s="484"/>
      <c r="AE170" s="484"/>
      <c r="AF170" s="484"/>
      <c r="AG170" s="484"/>
      <c r="AH170" s="484"/>
      <c r="AI170" s="484"/>
      <c r="AJ170" s="484"/>
      <c r="AK170" s="484"/>
      <c r="AL170" s="484"/>
      <c r="AM170" s="484"/>
      <c r="AN170" s="484"/>
      <c r="AO170" s="484"/>
    </row>
    <row r="171" spans="1:41" x14ac:dyDescent="0.35">
      <c r="A171" s="484"/>
      <c r="B171" s="484"/>
      <c r="C171" s="484"/>
      <c r="D171" s="484"/>
      <c r="E171" s="484"/>
      <c r="F171" s="484"/>
      <c r="G171" s="484"/>
      <c r="H171" s="484"/>
      <c r="I171" s="484"/>
      <c r="J171" s="484"/>
      <c r="K171" s="484"/>
      <c r="L171" s="484"/>
      <c r="M171" s="484"/>
      <c r="N171" s="484"/>
      <c r="O171" s="484"/>
      <c r="P171" s="484"/>
      <c r="Q171" s="484"/>
      <c r="R171" s="484"/>
      <c r="S171" s="484"/>
      <c r="T171" s="484"/>
      <c r="U171" s="484"/>
      <c r="V171" s="484"/>
      <c r="W171" s="484"/>
      <c r="X171" s="484"/>
      <c r="Y171" s="484"/>
      <c r="Z171" s="484"/>
      <c r="AA171" s="484"/>
      <c r="AB171" s="484"/>
      <c r="AC171" s="484"/>
      <c r="AD171" s="484"/>
      <c r="AE171" s="484"/>
      <c r="AF171" s="484"/>
      <c r="AG171" s="484"/>
      <c r="AH171" s="484"/>
      <c r="AI171" s="484"/>
      <c r="AJ171" s="484"/>
      <c r="AK171" s="484"/>
      <c r="AL171" s="484"/>
      <c r="AM171" s="484"/>
      <c r="AN171" s="484"/>
      <c r="AO171" s="484"/>
    </row>
    <row r="172" spans="1:41" x14ac:dyDescent="0.35">
      <c r="A172" s="484"/>
      <c r="B172" s="484"/>
      <c r="C172" s="484"/>
      <c r="D172" s="484"/>
      <c r="E172" s="484"/>
      <c r="F172" s="484"/>
      <c r="G172" s="484"/>
      <c r="H172" s="484"/>
      <c r="I172" s="484"/>
      <c r="J172" s="484"/>
      <c r="K172" s="484"/>
      <c r="L172" s="484"/>
      <c r="M172" s="484"/>
      <c r="N172" s="484"/>
      <c r="O172" s="484"/>
      <c r="P172" s="484"/>
      <c r="Q172" s="484"/>
      <c r="R172" s="484"/>
      <c r="S172" s="484"/>
      <c r="T172" s="484"/>
      <c r="U172" s="484"/>
      <c r="V172" s="484"/>
      <c r="W172" s="484"/>
      <c r="X172" s="484"/>
      <c r="Y172" s="484"/>
      <c r="Z172" s="484"/>
      <c r="AA172" s="484"/>
      <c r="AB172" s="484"/>
      <c r="AC172" s="484"/>
      <c r="AD172" s="484"/>
      <c r="AE172" s="484"/>
      <c r="AF172" s="484"/>
      <c r="AG172" s="484"/>
      <c r="AH172" s="484"/>
      <c r="AI172" s="484"/>
      <c r="AJ172" s="484"/>
      <c r="AK172" s="484"/>
      <c r="AL172" s="484"/>
      <c r="AM172" s="484"/>
      <c r="AN172" s="484"/>
      <c r="AO172" s="484"/>
    </row>
    <row r="173" spans="1:41" x14ac:dyDescent="0.35">
      <c r="A173" s="484"/>
      <c r="B173" s="484"/>
      <c r="C173" s="484"/>
      <c r="D173" s="484"/>
      <c r="E173" s="484"/>
      <c r="F173" s="484"/>
      <c r="G173" s="484"/>
      <c r="H173" s="484"/>
      <c r="I173" s="484"/>
      <c r="J173" s="484"/>
      <c r="K173" s="484"/>
      <c r="L173" s="484"/>
      <c r="M173" s="484"/>
      <c r="N173" s="484"/>
      <c r="O173" s="484"/>
      <c r="P173" s="484"/>
      <c r="Q173" s="484"/>
      <c r="R173" s="484"/>
      <c r="S173" s="484"/>
      <c r="T173" s="484"/>
      <c r="U173" s="484"/>
      <c r="V173" s="484"/>
      <c r="W173" s="484"/>
      <c r="X173" s="484"/>
      <c r="Y173" s="484"/>
      <c r="Z173" s="484"/>
      <c r="AA173" s="484"/>
      <c r="AB173" s="484"/>
      <c r="AC173" s="484"/>
      <c r="AD173" s="484"/>
      <c r="AE173" s="484"/>
      <c r="AF173" s="484"/>
      <c r="AG173" s="484"/>
      <c r="AH173" s="484"/>
      <c r="AI173" s="484"/>
      <c r="AJ173" s="484"/>
      <c r="AK173" s="484"/>
      <c r="AL173" s="484"/>
      <c r="AM173" s="484"/>
      <c r="AN173" s="484"/>
      <c r="AO173" s="484"/>
    </row>
    <row r="174" spans="1:41" x14ac:dyDescent="0.35">
      <c r="A174" s="484"/>
      <c r="B174" s="484"/>
      <c r="C174" s="484"/>
      <c r="D174" s="484"/>
      <c r="E174" s="484"/>
      <c r="F174" s="484"/>
      <c r="G174" s="484"/>
      <c r="H174" s="484"/>
      <c r="I174" s="484"/>
      <c r="J174" s="484"/>
      <c r="K174" s="484"/>
      <c r="L174" s="484"/>
      <c r="M174" s="484"/>
      <c r="N174" s="484"/>
      <c r="O174" s="484"/>
      <c r="P174" s="484"/>
      <c r="Q174" s="484"/>
      <c r="R174" s="484"/>
      <c r="S174" s="484"/>
      <c r="T174" s="484"/>
      <c r="U174" s="484"/>
      <c r="V174" s="484"/>
      <c r="W174" s="484"/>
      <c r="X174" s="484"/>
      <c r="Y174" s="484"/>
      <c r="Z174" s="484"/>
      <c r="AA174" s="484"/>
      <c r="AB174" s="484"/>
      <c r="AC174" s="484"/>
      <c r="AD174" s="484"/>
      <c r="AE174" s="484"/>
      <c r="AF174" s="484"/>
      <c r="AG174" s="484"/>
      <c r="AH174" s="484"/>
      <c r="AI174" s="484"/>
      <c r="AJ174" s="484"/>
      <c r="AK174" s="484"/>
      <c r="AL174" s="484"/>
      <c r="AM174" s="484"/>
      <c r="AN174" s="484"/>
      <c r="AO174" s="484"/>
    </row>
    <row r="175" spans="1:41" x14ac:dyDescent="0.35">
      <c r="A175" s="484"/>
      <c r="B175" s="484"/>
      <c r="C175" s="484"/>
      <c r="D175" s="484"/>
      <c r="E175" s="484"/>
      <c r="F175" s="484"/>
      <c r="G175" s="484"/>
      <c r="H175" s="484"/>
      <c r="I175" s="484"/>
      <c r="J175" s="484"/>
      <c r="K175" s="484"/>
      <c r="L175" s="484"/>
      <c r="M175" s="484"/>
      <c r="N175" s="484"/>
      <c r="O175" s="484"/>
      <c r="P175" s="484"/>
      <c r="Q175" s="484"/>
      <c r="R175" s="484"/>
      <c r="S175" s="484"/>
      <c r="T175" s="484"/>
      <c r="U175" s="484"/>
      <c r="V175" s="484"/>
      <c r="W175" s="484"/>
      <c r="X175" s="484"/>
      <c r="Y175" s="484"/>
      <c r="Z175" s="484"/>
      <c r="AA175" s="484"/>
      <c r="AB175" s="484"/>
      <c r="AC175" s="484"/>
      <c r="AD175" s="484"/>
      <c r="AE175" s="484"/>
      <c r="AF175" s="484"/>
      <c r="AG175" s="484"/>
      <c r="AH175" s="484"/>
      <c r="AI175" s="484"/>
      <c r="AJ175" s="484"/>
      <c r="AK175" s="484"/>
      <c r="AL175" s="484"/>
      <c r="AM175" s="484"/>
      <c r="AN175" s="484"/>
      <c r="AO175" s="484"/>
    </row>
    <row r="176" spans="1:41" x14ac:dyDescent="0.35">
      <c r="A176" s="484"/>
      <c r="B176" s="484"/>
      <c r="C176" s="484"/>
      <c r="D176" s="484"/>
      <c r="E176" s="484"/>
      <c r="F176" s="484"/>
      <c r="G176" s="484"/>
      <c r="H176" s="484"/>
      <c r="I176" s="484"/>
      <c r="J176" s="484"/>
      <c r="K176" s="484"/>
      <c r="L176" s="484"/>
      <c r="M176" s="484"/>
      <c r="N176" s="484"/>
      <c r="O176" s="484"/>
      <c r="P176" s="484"/>
      <c r="Q176" s="484"/>
      <c r="R176" s="484"/>
      <c r="S176" s="484"/>
      <c r="T176" s="484"/>
      <c r="U176" s="484"/>
      <c r="V176" s="484"/>
      <c r="W176" s="484"/>
      <c r="X176" s="484"/>
      <c r="Y176" s="484"/>
      <c r="Z176" s="484"/>
      <c r="AA176" s="484"/>
      <c r="AB176" s="484"/>
      <c r="AC176" s="484"/>
      <c r="AD176" s="484"/>
      <c r="AE176" s="484"/>
      <c r="AF176" s="484"/>
      <c r="AG176" s="484"/>
      <c r="AH176" s="484"/>
      <c r="AI176" s="484"/>
      <c r="AJ176" s="484"/>
      <c r="AK176" s="484"/>
      <c r="AL176" s="484"/>
      <c r="AM176" s="484"/>
      <c r="AN176" s="484"/>
      <c r="AO176" s="484"/>
    </row>
    <row r="177" spans="1:41" x14ac:dyDescent="0.35">
      <c r="A177" s="484"/>
      <c r="B177" s="484"/>
      <c r="C177" s="484"/>
      <c r="D177" s="484"/>
      <c r="E177" s="484"/>
      <c r="F177" s="484"/>
      <c r="G177" s="484"/>
      <c r="H177" s="484"/>
      <c r="I177" s="484"/>
      <c r="J177" s="484"/>
      <c r="K177" s="484"/>
      <c r="L177" s="484"/>
      <c r="M177" s="484"/>
      <c r="N177" s="484"/>
      <c r="O177" s="484"/>
      <c r="P177" s="484"/>
      <c r="Q177" s="484"/>
      <c r="R177" s="484"/>
      <c r="S177" s="484"/>
      <c r="T177" s="484"/>
      <c r="U177" s="484"/>
      <c r="V177" s="484"/>
      <c r="W177" s="484"/>
      <c r="X177" s="484"/>
      <c r="Y177" s="484"/>
      <c r="Z177" s="484"/>
      <c r="AA177" s="484"/>
      <c r="AB177" s="484"/>
      <c r="AC177" s="484"/>
      <c r="AD177" s="484"/>
      <c r="AE177" s="484"/>
      <c r="AF177" s="484"/>
      <c r="AG177" s="484"/>
      <c r="AH177" s="484"/>
      <c r="AI177" s="484"/>
      <c r="AJ177" s="484"/>
      <c r="AK177" s="484"/>
      <c r="AL177" s="484"/>
      <c r="AM177" s="484"/>
      <c r="AN177" s="484"/>
      <c r="AO177" s="484"/>
    </row>
    <row r="178" spans="1:41" x14ac:dyDescent="0.35">
      <c r="A178" s="484"/>
      <c r="B178" s="484"/>
      <c r="C178" s="484"/>
      <c r="D178" s="484"/>
      <c r="E178" s="484"/>
      <c r="F178" s="484"/>
      <c r="G178" s="484"/>
      <c r="H178" s="484"/>
      <c r="I178" s="484"/>
      <c r="J178" s="484"/>
      <c r="K178" s="484"/>
      <c r="L178" s="484"/>
      <c r="M178" s="484"/>
      <c r="N178" s="484"/>
      <c r="O178" s="484"/>
      <c r="P178" s="484"/>
      <c r="Q178" s="484"/>
      <c r="R178" s="484"/>
      <c r="S178" s="484"/>
      <c r="T178" s="484"/>
      <c r="U178" s="484"/>
      <c r="V178" s="484"/>
      <c r="W178" s="484"/>
      <c r="X178" s="484"/>
      <c r="Y178" s="484"/>
      <c r="Z178" s="484"/>
      <c r="AA178" s="484"/>
      <c r="AB178" s="484"/>
      <c r="AC178" s="484"/>
      <c r="AD178" s="484"/>
      <c r="AE178" s="484"/>
      <c r="AF178" s="484"/>
      <c r="AG178" s="484"/>
      <c r="AH178" s="484"/>
      <c r="AI178" s="484"/>
      <c r="AJ178" s="484"/>
      <c r="AK178" s="484"/>
      <c r="AL178" s="484"/>
      <c r="AM178" s="484"/>
      <c r="AN178" s="484"/>
      <c r="AO178" s="484"/>
    </row>
    <row r="179" spans="1:41" x14ac:dyDescent="0.35">
      <c r="A179" s="484"/>
      <c r="B179" s="484"/>
      <c r="C179" s="484"/>
      <c r="D179" s="484"/>
      <c r="E179" s="484"/>
      <c r="F179" s="484"/>
      <c r="G179" s="484"/>
      <c r="H179" s="484"/>
      <c r="I179" s="484"/>
      <c r="J179" s="484"/>
      <c r="K179" s="484"/>
      <c r="L179" s="484"/>
      <c r="M179" s="484"/>
      <c r="N179" s="484"/>
      <c r="O179" s="484"/>
      <c r="P179" s="484"/>
      <c r="Q179" s="484"/>
      <c r="R179" s="484"/>
      <c r="S179" s="484"/>
      <c r="T179" s="484"/>
      <c r="U179" s="484"/>
      <c r="V179" s="484"/>
      <c r="W179" s="484"/>
      <c r="X179" s="484"/>
      <c r="Y179" s="484"/>
      <c r="Z179" s="484"/>
      <c r="AA179" s="484"/>
      <c r="AB179" s="484"/>
      <c r="AC179" s="484"/>
      <c r="AD179" s="484"/>
      <c r="AE179" s="484"/>
      <c r="AF179" s="484"/>
      <c r="AG179" s="484"/>
      <c r="AH179" s="484"/>
      <c r="AI179" s="484"/>
      <c r="AJ179" s="484"/>
      <c r="AK179" s="484"/>
      <c r="AL179" s="484"/>
      <c r="AM179" s="484"/>
      <c r="AN179" s="484"/>
      <c r="AO179" s="484"/>
    </row>
    <row r="180" spans="1:41" x14ac:dyDescent="0.35">
      <c r="A180" s="484"/>
      <c r="B180" s="484"/>
      <c r="C180" s="484"/>
      <c r="D180" s="484"/>
      <c r="E180" s="484"/>
      <c r="F180" s="484"/>
      <c r="G180" s="484"/>
      <c r="H180" s="484"/>
      <c r="I180" s="484"/>
      <c r="J180" s="484"/>
      <c r="K180" s="484"/>
      <c r="L180" s="484"/>
      <c r="M180" s="484"/>
      <c r="N180" s="484"/>
      <c r="O180" s="484"/>
      <c r="P180" s="484"/>
      <c r="Q180" s="484"/>
      <c r="R180" s="484"/>
      <c r="S180" s="484"/>
      <c r="T180" s="484"/>
      <c r="U180" s="484"/>
      <c r="V180" s="484"/>
      <c r="W180" s="484"/>
      <c r="X180" s="484"/>
      <c r="Y180" s="484"/>
      <c r="Z180" s="484"/>
      <c r="AA180" s="484"/>
      <c r="AB180" s="484"/>
      <c r="AC180" s="484"/>
      <c r="AD180" s="484"/>
      <c r="AE180" s="484"/>
      <c r="AF180" s="484"/>
      <c r="AG180" s="484"/>
      <c r="AH180" s="484"/>
      <c r="AI180" s="484"/>
      <c r="AJ180" s="484"/>
      <c r="AK180" s="484"/>
      <c r="AL180" s="484"/>
      <c r="AM180" s="484"/>
      <c r="AN180" s="484"/>
      <c r="AO180" s="484"/>
    </row>
    <row r="181" spans="1:41" x14ac:dyDescent="0.35">
      <c r="A181" s="484"/>
      <c r="B181" s="484"/>
      <c r="C181" s="484"/>
      <c r="D181" s="484"/>
      <c r="E181" s="484"/>
      <c r="F181" s="484"/>
      <c r="G181" s="484"/>
      <c r="H181" s="484"/>
      <c r="I181" s="484"/>
      <c r="J181" s="484"/>
      <c r="K181" s="484"/>
      <c r="L181" s="484"/>
      <c r="M181" s="484"/>
      <c r="N181" s="484"/>
      <c r="O181" s="484"/>
      <c r="P181" s="484"/>
      <c r="Q181" s="484"/>
      <c r="R181" s="484"/>
      <c r="S181" s="484"/>
      <c r="T181" s="484"/>
      <c r="U181" s="484"/>
      <c r="V181" s="484"/>
      <c r="W181" s="484"/>
      <c r="X181" s="484"/>
      <c r="Y181" s="484"/>
      <c r="Z181" s="484"/>
      <c r="AA181" s="484"/>
      <c r="AB181" s="484"/>
      <c r="AC181" s="484"/>
      <c r="AD181" s="484"/>
      <c r="AE181" s="484"/>
      <c r="AF181" s="484"/>
      <c r="AG181" s="484"/>
      <c r="AH181" s="484"/>
      <c r="AI181" s="484"/>
      <c r="AJ181" s="484"/>
      <c r="AK181" s="484"/>
      <c r="AL181" s="484"/>
      <c r="AM181" s="484"/>
      <c r="AN181" s="484"/>
      <c r="AO181" s="484"/>
    </row>
    <row r="182" spans="1:41" x14ac:dyDescent="0.35">
      <c r="A182" s="484"/>
      <c r="B182" s="484"/>
      <c r="C182" s="484"/>
      <c r="D182" s="484"/>
      <c r="E182" s="484"/>
      <c r="F182" s="484"/>
      <c r="G182" s="484"/>
      <c r="H182" s="484"/>
      <c r="I182" s="484"/>
      <c r="J182" s="484"/>
      <c r="K182" s="484"/>
      <c r="L182" s="484"/>
      <c r="M182" s="484"/>
      <c r="N182" s="484"/>
      <c r="O182" s="484"/>
      <c r="P182" s="484"/>
      <c r="Q182" s="484"/>
      <c r="R182" s="484"/>
      <c r="S182" s="484"/>
      <c r="T182" s="484"/>
      <c r="U182" s="484"/>
      <c r="V182" s="484"/>
      <c r="W182" s="484"/>
      <c r="X182" s="484"/>
      <c r="Y182" s="484"/>
      <c r="Z182" s="484"/>
      <c r="AA182" s="484"/>
      <c r="AB182" s="484"/>
      <c r="AC182" s="484"/>
      <c r="AD182" s="484"/>
      <c r="AE182" s="484"/>
      <c r="AF182" s="484"/>
      <c r="AG182" s="484"/>
      <c r="AH182" s="484"/>
      <c r="AI182" s="484"/>
      <c r="AJ182" s="484"/>
      <c r="AK182" s="484"/>
      <c r="AL182" s="484"/>
      <c r="AM182" s="484"/>
      <c r="AN182" s="484"/>
      <c r="AO182" s="484"/>
    </row>
    <row r="183" spans="1:41" x14ac:dyDescent="0.35">
      <c r="A183" s="484"/>
      <c r="B183" s="484"/>
      <c r="C183" s="484"/>
      <c r="D183" s="484"/>
      <c r="E183" s="484"/>
      <c r="F183" s="484"/>
      <c r="G183" s="484"/>
      <c r="H183" s="484"/>
      <c r="I183" s="484"/>
      <c r="J183" s="484"/>
      <c r="K183" s="484"/>
      <c r="L183" s="484"/>
      <c r="M183" s="484"/>
      <c r="N183" s="484"/>
      <c r="O183" s="484"/>
      <c r="P183" s="484"/>
      <c r="Q183" s="484"/>
      <c r="R183" s="484"/>
      <c r="S183" s="484"/>
      <c r="T183" s="484"/>
      <c r="U183" s="484"/>
      <c r="V183" s="484"/>
      <c r="W183" s="484"/>
      <c r="X183" s="484"/>
      <c r="Y183" s="484"/>
      <c r="Z183" s="484"/>
      <c r="AA183" s="484"/>
      <c r="AB183" s="484"/>
      <c r="AC183" s="484"/>
      <c r="AD183" s="484"/>
      <c r="AE183" s="484"/>
      <c r="AF183" s="484"/>
      <c r="AG183" s="484"/>
      <c r="AH183" s="484"/>
      <c r="AI183" s="484"/>
      <c r="AJ183" s="484"/>
      <c r="AK183" s="484"/>
      <c r="AL183" s="484"/>
      <c r="AM183" s="484"/>
      <c r="AN183" s="484"/>
      <c r="AO183" s="484"/>
    </row>
    <row r="184" spans="1:41" x14ac:dyDescent="0.35">
      <c r="A184" s="484"/>
      <c r="B184" s="484"/>
      <c r="C184" s="484"/>
      <c r="D184" s="484"/>
      <c r="E184" s="484"/>
      <c r="F184" s="484"/>
      <c r="G184" s="484"/>
      <c r="H184" s="484"/>
      <c r="I184" s="484"/>
      <c r="J184" s="484"/>
      <c r="K184" s="484"/>
      <c r="L184" s="484"/>
      <c r="M184" s="484"/>
      <c r="N184" s="484"/>
      <c r="O184" s="484"/>
      <c r="P184" s="484"/>
      <c r="Q184" s="484"/>
      <c r="R184" s="484"/>
      <c r="S184" s="484"/>
      <c r="T184" s="484"/>
      <c r="U184" s="484"/>
      <c r="V184" s="484"/>
      <c r="W184" s="484"/>
      <c r="X184" s="484"/>
      <c r="Y184" s="484"/>
      <c r="Z184" s="484"/>
      <c r="AA184" s="484"/>
      <c r="AB184" s="484"/>
      <c r="AC184" s="484"/>
      <c r="AD184" s="484"/>
      <c r="AE184" s="484"/>
      <c r="AF184" s="484"/>
      <c r="AG184" s="484"/>
      <c r="AH184" s="484"/>
      <c r="AI184" s="484"/>
      <c r="AJ184" s="484"/>
      <c r="AK184" s="484"/>
      <c r="AL184" s="484"/>
      <c r="AM184" s="484"/>
      <c r="AN184" s="484"/>
      <c r="AO184" s="484"/>
    </row>
    <row r="185" spans="1:41" x14ac:dyDescent="0.35">
      <c r="A185" s="484"/>
      <c r="B185" s="484"/>
      <c r="C185" s="484"/>
      <c r="D185" s="484"/>
      <c r="E185" s="484"/>
      <c r="F185" s="484"/>
      <c r="G185" s="484"/>
      <c r="H185" s="484"/>
      <c r="I185" s="484"/>
      <c r="J185" s="484"/>
      <c r="K185" s="484"/>
      <c r="L185" s="484"/>
      <c r="M185" s="484"/>
      <c r="N185" s="484"/>
      <c r="O185" s="484"/>
      <c r="P185" s="484"/>
      <c r="Q185" s="484"/>
      <c r="R185" s="484"/>
      <c r="S185" s="484"/>
      <c r="T185" s="484"/>
      <c r="U185" s="484"/>
      <c r="V185" s="484"/>
      <c r="W185" s="484"/>
      <c r="X185" s="484"/>
      <c r="Y185" s="484"/>
      <c r="Z185" s="484"/>
      <c r="AA185" s="484"/>
      <c r="AB185" s="484"/>
      <c r="AC185" s="484"/>
      <c r="AD185" s="484"/>
      <c r="AE185" s="484"/>
      <c r="AF185" s="484"/>
      <c r="AG185" s="484"/>
      <c r="AH185" s="484"/>
      <c r="AI185" s="484"/>
      <c r="AJ185" s="484"/>
      <c r="AK185" s="484"/>
      <c r="AL185" s="484"/>
      <c r="AM185" s="484"/>
      <c r="AN185" s="484"/>
      <c r="AO185" s="484"/>
    </row>
    <row r="186" spans="1:41" x14ac:dyDescent="0.35">
      <c r="A186" s="484"/>
      <c r="B186" s="484"/>
      <c r="C186" s="484"/>
      <c r="D186" s="484"/>
      <c r="E186" s="484"/>
      <c r="F186" s="484"/>
      <c r="G186" s="484"/>
      <c r="H186" s="484"/>
      <c r="I186" s="484"/>
      <c r="J186" s="484"/>
      <c r="K186" s="484"/>
      <c r="L186" s="484"/>
      <c r="M186" s="484"/>
      <c r="N186" s="484"/>
      <c r="O186" s="484"/>
      <c r="P186" s="484"/>
      <c r="Q186" s="484"/>
      <c r="R186" s="484"/>
      <c r="S186" s="484"/>
      <c r="T186" s="484"/>
      <c r="U186" s="484"/>
      <c r="V186" s="484"/>
      <c r="W186" s="484"/>
      <c r="X186" s="484"/>
      <c r="Y186" s="484"/>
      <c r="Z186" s="484"/>
      <c r="AA186" s="484"/>
      <c r="AB186" s="484"/>
      <c r="AC186" s="484"/>
      <c r="AD186" s="484"/>
      <c r="AE186" s="484"/>
      <c r="AF186" s="484"/>
      <c r="AG186" s="484"/>
      <c r="AH186" s="484"/>
      <c r="AI186" s="484"/>
      <c r="AJ186" s="484"/>
      <c r="AK186" s="484"/>
      <c r="AL186" s="484"/>
      <c r="AM186" s="484"/>
      <c r="AN186" s="484"/>
      <c r="AO186" s="484"/>
    </row>
    <row r="187" spans="1:41" x14ac:dyDescent="0.35">
      <c r="A187" s="484"/>
      <c r="B187" s="484"/>
      <c r="C187" s="484"/>
      <c r="D187" s="484"/>
      <c r="E187" s="484"/>
      <c r="F187" s="484"/>
      <c r="G187" s="484"/>
      <c r="H187" s="484"/>
      <c r="I187" s="484"/>
      <c r="J187" s="484"/>
      <c r="K187" s="484"/>
      <c r="L187" s="484"/>
      <c r="M187" s="484"/>
      <c r="N187" s="484"/>
      <c r="O187" s="484"/>
      <c r="P187" s="484"/>
      <c r="Q187" s="484"/>
      <c r="R187" s="484"/>
      <c r="S187" s="484"/>
      <c r="T187" s="484"/>
      <c r="U187" s="484"/>
      <c r="V187" s="484"/>
      <c r="W187" s="484"/>
      <c r="X187" s="484"/>
      <c r="Y187" s="484"/>
      <c r="Z187" s="484"/>
      <c r="AA187" s="484"/>
      <c r="AB187" s="484"/>
      <c r="AC187" s="484"/>
      <c r="AD187" s="484"/>
      <c r="AE187" s="484"/>
      <c r="AF187" s="484"/>
      <c r="AG187" s="484"/>
      <c r="AH187" s="484"/>
      <c r="AI187" s="484"/>
      <c r="AJ187" s="484"/>
      <c r="AK187" s="484"/>
      <c r="AL187" s="484"/>
      <c r="AM187" s="484"/>
      <c r="AN187" s="484"/>
      <c r="AO187" s="484"/>
    </row>
    <row r="188" spans="1:41" x14ac:dyDescent="0.35">
      <c r="A188" s="484"/>
      <c r="B188" s="484"/>
      <c r="C188" s="484"/>
      <c r="D188" s="484"/>
      <c r="E188" s="484"/>
      <c r="F188" s="484"/>
      <c r="G188" s="484"/>
      <c r="H188" s="484"/>
      <c r="I188" s="484"/>
      <c r="J188" s="484"/>
      <c r="K188" s="484"/>
      <c r="L188" s="484"/>
      <c r="M188" s="484"/>
      <c r="N188" s="484"/>
      <c r="O188" s="484"/>
      <c r="P188" s="484"/>
      <c r="Q188" s="484"/>
      <c r="R188" s="484"/>
      <c r="S188" s="484"/>
      <c r="T188" s="484"/>
      <c r="U188" s="484"/>
      <c r="V188" s="484"/>
      <c r="W188" s="484"/>
      <c r="X188" s="484"/>
      <c r="Y188" s="484"/>
      <c r="Z188" s="484"/>
      <c r="AA188" s="484"/>
      <c r="AB188" s="484"/>
      <c r="AC188" s="484"/>
      <c r="AD188" s="484"/>
      <c r="AE188" s="484"/>
      <c r="AF188" s="484"/>
      <c r="AG188" s="484"/>
      <c r="AH188" s="484"/>
      <c r="AI188" s="484"/>
      <c r="AJ188" s="484"/>
      <c r="AK188" s="484"/>
      <c r="AL188" s="484"/>
      <c r="AM188" s="484"/>
      <c r="AN188" s="484"/>
      <c r="AO188" s="484"/>
    </row>
    <row r="189" spans="1:41" x14ac:dyDescent="0.35">
      <c r="A189" s="484"/>
      <c r="B189" s="484"/>
      <c r="C189" s="484"/>
      <c r="D189" s="484"/>
      <c r="E189" s="484"/>
      <c r="F189" s="484"/>
      <c r="G189" s="484"/>
      <c r="H189" s="484"/>
      <c r="I189" s="484"/>
      <c r="J189" s="484"/>
      <c r="K189" s="484"/>
      <c r="L189" s="484"/>
      <c r="M189" s="484"/>
      <c r="N189" s="484"/>
      <c r="O189" s="484"/>
      <c r="P189" s="484"/>
      <c r="Q189" s="484"/>
      <c r="R189" s="484"/>
      <c r="S189" s="484"/>
      <c r="T189" s="484"/>
      <c r="U189" s="484"/>
      <c r="V189" s="484"/>
      <c r="W189" s="484"/>
      <c r="X189" s="484"/>
      <c r="Y189" s="484"/>
      <c r="Z189" s="484"/>
      <c r="AA189" s="484"/>
      <c r="AB189" s="484"/>
      <c r="AC189" s="484"/>
      <c r="AD189" s="484"/>
      <c r="AE189" s="484"/>
      <c r="AF189" s="484"/>
      <c r="AG189" s="484"/>
      <c r="AH189" s="484"/>
      <c r="AI189" s="484"/>
      <c r="AJ189" s="484"/>
      <c r="AK189" s="484"/>
      <c r="AL189" s="484"/>
      <c r="AM189" s="484"/>
      <c r="AN189" s="484"/>
      <c r="AO189" s="484"/>
    </row>
    <row r="190" spans="1:41" x14ac:dyDescent="0.35">
      <c r="A190" s="484"/>
      <c r="B190" s="484"/>
      <c r="C190" s="484"/>
      <c r="D190" s="484"/>
      <c r="E190" s="484"/>
      <c r="F190" s="484"/>
      <c r="G190" s="484"/>
      <c r="H190" s="484"/>
      <c r="I190" s="484"/>
      <c r="J190" s="484"/>
      <c r="K190" s="484"/>
      <c r="L190" s="484"/>
      <c r="M190" s="484"/>
      <c r="N190" s="484"/>
      <c r="O190" s="484"/>
      <c r="P190" s="484"/>
      <c r="Q190" s="484"/>
      <c r="R190" s="484"/>
      <c r="S190" s="484"/>
      <c r="T190" s="484"/>
      <c r="U190" s="484"/>
      <c r="V190" s="484"/>
      <c r="W190" s="484"/>
      <c r="X190" s="484"/>
      <c r="Y190" s="484"/>
      <c r="Z190" s="484"/>
      <c r="AA190" s="484"/>
      <c r="AB190" s="484"/>
      <c r="AC190" s="484"/>
      <c r="AD190" s="484"/>
      <c r="AE190" s="484"/>
      <c r="AF190" s="484"/>
      <c r="AG190" s="484"/>
      <c r="AH190" s="484"/>
      <c r="AI190" s="484"/>
      <c r="AJ190" s="484"/>
      <c r="AK190" s="484"/>
      <c r="AL190" s="484"/>
      <c r="AM190" s="484"/>
      <c r="AN190" s="484"/>
      <c r="AO190" s="484"/>
    </row>
    <row r="191" spans="1:41" x14ac:dyDescent="0.35">
      <c r="A191" s="484"/>
      <c r="B191" s="484"/>
      <c r="C191" s="484"/>
      <c r="D191" s="484"/>
      <c r="E191" s="484"/>
      <c r="F191" s="484"/>
      <c r="G191" s="484"/>
      <c r="H191" s="484"/>
      <c r="I191" s="484"/>
      <c r="J191" s="484"/>
      <c r="K191" s="484"/>
      <c r="L191" s="484"/>
      <c r="M191" s="484"/>
      <c r="N191" s="484"/>
      <c r="O191" s="484"/>
      <c r="P191" s="484"/>
      <c r="Q191" s="484"/>
      <c r="R191" s="484"/>
      <c r="S191" s="484"/>
      <c r="T191" s="484"/>
      <c r="U191" s="484"/>
      <c r="V191" s="484"/>
      <c r="W191" s="484"/>
      <c r="X191" s="484"/>
      <c r="Y191" s="484"/>
      <c r="Z191" s="484"/>
      <c r="AA191" s="484"/>
      <c r="AB191" s="484"/>
      <c r="AC191" s="484"/>
      <c r="AD191" s="484"/>
      <c r="AE191" s="484"/>
      <c r="AF191" s="484"/>
      <c r="AG191" s="484"/>
      <c r="AH191" s="484"/>
      <c r="AI191" s="484"/>
      <c r="AJ191" s="484"/>
      <c r="AK191" s="484"/>
      <c r="AL191" s="484"/>
      <c r="AM191" s="484"/>
      <c r="AN191" s="484"/>
      <c r="AO191" s="484"/>
    </row>
    <row r="192" spans="1:41" x14ac:dyDescent="0.35">
      <c r="A192" s="484"/>
      <c r="B192" s="484"/>
      <c r="C192" s="484"/>
      <c r="D192" s="484"/>
      <c r="E192" s="484"/>
      <c r="F192" s="484"/>
      <c r="G192" s="484"/>
      <c r="H192" s="484"/>
      <c r="I192" s="484"/>
      <c r="J192" s="484"/>
      <c r="K192" s="484"/>
      <c r="L192" s="484"/>
      <c r="M192" s="484"/>
      <c r="N192" s="484"/>
      <c r="O192" s="484"/>
      <c r="P192" s="484"/>
      <c r="Q192" s="484"/>
      <c r="R192" s="484"/>
      <c r="S192" s="484"/>
      <c r="T192" s="484"/>
      <c r="U192" s="484"/>
      <c r="V192" s="484"/>
      <c r="W192" s="484"/>
      <c r="X192" s="484"/>
      <c r="Y192" s="484"/>
      <c r="Z192" s="484"/>
      <c r="AA192" s="484"/>
      <c r="AB192" s="484"/>
      <c r="AC192" s="484"/>
      <c r="AD192" s="484"/>
      <c r="AE192" s="484"/>
      <c r="AF192" s="484"/>
      <c r="AG192" s="484"/>
      <c r="AH192" s="484"/>
      <c r="AI192" s="484"/>
      <c r="AJ192" s="484"/>
      <c r="AK192" s="484"/>
      <c r="AL192" s="484"/>
      <c r="AM192" s="484"/>
      <c r="AN192" s="484"/>
      <c r="AO192" s="484"/>
    </row>
    <row r="193" spans="1:41" x14ac:dyDescent="0.35">
      <c r="A193" s="484"/>
      <c r="B193" s="484"/>
      <c r="C193" s="484"/>
      <c r="D193" s="484"/>
      <c r="E193" s="484"/>
      <c r="F193" s="484"/>
      <c r="G193" s="484"/>
      <c r="H193" s="484"/>
      <c r="I193" s="484"/>
      <c r="J193" s="484"/>
      <c r="K193" s="484"/>
      <c r="L193" s="484"/>
      <c r="M193" s="484"/>
      <c r="N193" s="484"/>
      <c r="O193" s="484"/>
      <c r="P193" s="484"/>
      <c r="Q193" s="484"/>
      <c r="R193" s="484"/>
      <c r="S193" s="484"/>
      <c r="T193" s="484"/>
      <c r="U193" s="484"/>
      <c r="V193" s="484"/>
      <c r="W193" s="484"/>
      <c r="X193" s="484"/>
      <c r="Y193" s="484"/>
      <c r="Z193" s="484"/>
      <c r="AA193" s="484"/>
      <c r="AB193" s="484"/>
      <c r="AC193" s="484"/>
      <c r="AD193" s="484"/>
      <c r="AE193" s="484"/>
      <c r="AF193" s="484"/>
      <c r="AG193" s="484"/>
      <c r="AH193" s="484"/>
      <c r="AI193" s="484"/>
      <c r="AJ193" s="484"/>
      <c r="AK193" s="484"/>
      <c r="AL193" s="484"/>
      <c r="AM193" s="484"/>
      <c r="AN193" s="484"/>
      <c r="AO193" s="484"/>
    </row>
    <row r="194" spans="1:41" x14ac:dyDescent="0.35">
      <c r="A194" s="484"/>
      <c r="B194" s="484"/>
      <c r="C194" s="484"/>
      <c r="D194" s="484"/>
      <c r="E194" s="484"/>
      <c r="F194" s="484"/>
      <c r="G194" s="484"/>
      <c r="H194" s="484"/>
      <c r="I194" s="484"/>
      <c r="J194" s="484"/>
      <c r="K194" s="484"/>
      <c r="L194" s="484"/>
      <c r="M194" s="484"/>
      <c r="N194" s="484"/>
      <c r="O194" s="484"/>
      <c r="P194" s="484"/>
      <c r="Q194" s="484"/>
      <c r="R194" s="484"/>
      <c r="S194" s="484"/>
      <c r="T194" s="484"/>
      <c r="U194" s="484"/>
      <c r="V194" s="484"/>
      <c r="W194" s="484"/>
      <c r="X194" s="484"/>
      <c r="Y194" s="484"/>
      <c r="Z194" s="484"/>
      <c r="AA194" s="484"/>
      <c r="AB194" s="484"/>
      <c r="AC194" s="484"/>
      <c r="AD194" s="484"/>
      <c r="AE194" s="484"/>
      <c r="AF194" s="484"/>
      <c r="AG194" s="484"/>
      <c r="AH194" s="484"/>
      <c r="AI194" s="484"/>
      <c r="AJ194" s="484"/>
      <c r="AK194" s="484"/>
      <c r="AL194" s="484"/>
      <c r="AM194" s="484"/>
      <c r="AN194" s="484"/>
      <c r="AO194" s="484"/>
    </row>
    <row r="195" spans="1:41" x14ac:dyDescent="0.35">
      <c r="A195" s="484"/>
      <c r="B195" s="484"/>
      <c r="C195" s="484"/>
      <c r="D195" s="484"/>
      <c r="E195" s="484"/>
      <c r="F195" s="484"/>
      <c r="G195" s="484"/>
      <c r="H195" s="484"/>
      <c r="I195" s="484"/>
      <c r="J195" s="484"/>
      <c r="K195" s="484"/>
      <c r="L195" s="484"/>
      <c r="M195" s="484"/>
      <c r="N195" s="484"/>
      <c r="O195" s="484"/>
      <c r="P195" s="484"/>
      <c r="Q195" s="484"/>
      <c r="R195" s="484"/>
      <c r="S195" s="484"/>
      <c r="T195" s="484"/>
      <c r="U195" s="484"/>
      <c r="V195" s="484"/>
      <c r="W195" s="484"/>
      <c r="X195" s="484"/>
      <c r="Y195" s="484"/>
      <c r="Z195" s="484"/>
      <c r="AA195" s="484"/>
      <c r="AB195" s="484"/>
      <c r="AC195" s="484"/>
      <c r="AD195" s="484"/>
      <c r="AE195" s="484"/>
      <c r="AF195" s="484"/>
      <c r="AG195" s="484"/>
      <c r="AH195" s="484"/>
      <c r="AI195" s="484"/>
      <c r="AJ195" s="484"/>
      <c r="AK195" s="484"/>
      <c r="AL195" s="484"/>
      <c r="AM195" s="484"/>
      <c r="AN195" s="484"/>
      <c r="AO195" s="484"/>
    </row>
    <row r="196" spans="1:41" x14ac:dyDescent="0.35">
      <c r="A196" s="484"/>
      <c r="B196" s="484"/>
      <c r="C196" s="484"/>
      <c r="D196" s="484"/>
      <c r="E196" s="484"/>
      <c r="F196" s="484"/>
      <c r="G196" s="484"/>
      <c r="H196" s="484"/>
      <c r="I196" s="484"/>
      <c r="J196" s="484"/>
      <c r="K196" s="484"/>
      <c r="L196" s="484"/>
      <c r="M196" s="484"/>
      <c r="N196" s="484"/>
      <c r="O196" s="484"/>
      <c r="P196" s="484"/>
      <c r="Q196" s="484"/>
      <c r="R196" s="484"/>
      <c r="S196" s="484"/>
      <c r="T196" s="484"/>
      <c r="U196" s="484"/>
      <c r="V196" s="484"/>
      <c r="W196" s="484"/>
      <c r="X196" s="484"/>
      <c r="Y196" s="484"/>
      <c r="Z196" s="484"/>
      <c r="AA196" s="484"/>
      <c r="AB196" s="484"/>
      <c r="AC196" s="484"/>
      <c r="AD196" s="484"/>
      <c r="AE196" s="484"/>
      <c r="AF196" s="484"/>
      <c r="AG196" s="484"/>
      <c r="AH196" s="484"/>
      <c r="AI196" s="484"/>
      <c r="AJ196" s="484"/>
      <c r="AK196" s="484"/>
      <c r="AL196" s="484"/>
      <c r="AM196" s="484"/>
      <c r="AN196" s="484"/>
      <c r="AO196" s="484"/>
    </row>
    <row r="197" spans="1:41" x14ac:dyDescent="0.35">
      <c r="A197" s="484"/>
      <c r="B197" s="484"/>
      <c r="C197" s="484"/>
      <c r="D197" s="484"/>
      <c r="E197" s="484"/>
      <c r="F197" s="484"/>
      <c r="G197" s="484"/>
      <c r="H197" s="484"/>
      <c r="I197" s="484"/>
      <c r="J197" s="484"/>
      <c r="K197" s="484"/>
      <c r="L197" s="484"/>
      <c r="M197" s="484"/>
      <c r="N197" s="484"/>
      <c r="O197" s="484"/>
      <c r="P197" s="484"/>
      <c r="Q197" s="484"/>
      <c r="R197" s="484"/>
      <c r="S197" s="484"/>
      <c r="T197" s="484"/>
      <c r="U197" s="484"/>
      <c r="V197" s="484"/>
      <c r="W197" s="484"/>
      <c r="X197" s="484"/>
      <c r="Y197" s="484"/>
      <c r="Z197" s="484"/>
      <c r="AA197" s="484"/>
      <c r="AB197" s="484"/>
      <c r="AC197" s="484"/>
      <c r="AD197" s="484"/>
      <c r="AE197" s="484"/>
      <c r="AF197" s="484"/>
      <c r="AG197" s="484"/>
      <c r="AH197" s="484"/>
      <c r="AI197" s="484"/>
      <c r="AJ197" s="484"/>
      <c r="AK197" s="484"/>
      <c r="AL197" s="484"/>
      <c r="AM197" s="484"/>
      <c r="AN197" s="484"/>
      <c r="AO197" s="484"/>
    </row>
    <row r="198" spans="1:41" x14ac:dyDescent="0.35">
      <c r="A198" s="484"/>
      <c r="B198" s="484"/>
      <c r="C198" s="484"/>
      <c r="D198" s="484"/>
      <c r="E198" s="484"/>
      <c r="F198" s="484"/>
      <c r="G198" s="484"/>
      <c r="H198" s="484"/>
      <c r="I198" s="484"/>
      <c r="J198" s="484"/>
      <c r="K198" s="484"/>
      <c r="L198" s="484"/>
      <c r="M198" s="484"/>
      <c r="N198" s="484"/>
      <c r="O198" s="484"/>
      <c r="P198" s="484"/>
      <c r="Q198" s="484"/>
      <c r="R198" s="484"/>
      <c r="S198" s="484"/>
      <c r="T198" s="484"/>
      <c r="U198" s="484"/>
      <c r="V198" s="484"/>
      <c r="W198" s="484"/>
      <c r="X198" s="484"/>
      <c r="Y198" s="484"/>
      <c r="Z198" s="484"/>
      <c r="AA198" s="484"/>
      <c r="AB198" s="484"/>
      <c r="AC198" s="484"/>
      <c r="AD198" s="484"/>
      <c r="AE198" s="484"/>
      <c r="AF198" s="484"/>
      <c r="AG198" s="484"/>
      <c r="AH198" s="484"/>
      <c r="AI198" s="484"/>
      <c r="AJ198" s="484"/>
      <c r="AK198" s="484"/>
      <c r="AL198" s="484"/>
      <c r="AM198" s="484"/>
      <c r="AN198" s="484"/>
      <c r="AO198" s="484"/>
    </row>
    <row r="199" spans="1:41" x14ac:dyDescent="0.35">
      <c r="A199" s="484"/>
      <c r="B199" s="484"/>
      <c r="C199" s="484"/>
      <c r="D199" s="484"/>
      <c r="E199" s="484"/>
      <c r="F199" s="484"/>
      <c r="G199" s="484"/>
      <c r="H199" s="484"/>
      <c r="I199" s="484"/>
      <c r="J199" s="484"/>
      <c r="K199" s="484"/>
      <c r="L199" s="484"/>
      <c r="M199" s="484"/>
      <c r="N199" s="484"/>
      <c r="O199" s="484"/>
      <c r="P199" s="484"/>
      <c r="Q199" s="484"/>
      <c r="R199" s="484"/>
      <c r="S199" s="484"/>
      <c r="T199" s="484"/>
      <c r="U199" s="484"/>
      <c r="V199" s="484"/>
      <c r="W199" s="484"/>
      <c r="X199" s="484"/>
      <c r="Y199" s="484"/>
      <c r="Z199" s="484"/>
      <c r="AA199" s="484"/>
      <c r="AB199" s="484"/>
      <c r="AC199" s="484"/>
      <c r="AD199" s="484"/>
      <c r="AE199" s="484"/>
      <c r="AF199" s="484"/>
      <c r="AG199" s="484"/>
      <c r="AH199" s="484"/>
      <c r="AI199" s="484"/>
      <c r="AJ199" s="484"/>
      <c r="AK199" s="484"/>
      <c r="AL199" s="484"/>
      <c r="AM199" s="484"/>
      <c r="AN199" s="484"/>
      <c r="AO199" s="484"/>
    </row>
    <row r="200" spans="1:41" x14ac:dyDescent="0.35">
      <c r="A200" s="484"/>
      <c r="B200" s="484"/>
      <c r="C200" s="484"/>
      <c r="D200" s="484"/>
      <c r="E200" s="484"/>
      <c r="F200" s="484"/>
      <c r="G200" s="484"/>
      <c r="H200" s="484"/>
      <c r="I200" s="484"/>
      <c r="J200" s="484"/>
      <c r="K200" s="484"/>
      <c r="L200" s="484"/>
      <c r="M200" s="484"/>
      <c r="N200" s="484"/>
      <c r="O200" s="484"/>
      <c r="P200" s="484"/>
      <c r="Q200" s="484"/>
      <c r="R200" s="484"/>
      <c r="S200" s="484"/>
      <c r="T200" s="484"/>
      <c r="U200" s="484"/>
      <c r="V200" s="484"/>
      <c r="W200" s="484"/>
      <c r="X200" s="484"/>
      <c r="Y200" s="484"/>
      <c r="Z200" s="484"/>
      <c r="AA200" s="484"/>
      <c r="AB200" s="484"/>
      <c r="AC200" s="484"/>
      <c r="AD200" s="484"/>
      <c r="AE200" s="484"/>
      <c r="AF200" s="484"/>
      <c r="AG200" s="484"/>
      <c r="AH200" s="484"/>
      <c r="AI200" s="484"/>
      <c r="AJ200" s="484"/>
      <c r="AK200" s="484"/>
      <c r="AL200" s="484"/>
      <c r="AM200" s="484"/>
      <c r="AN200" s="484"/>
      <c r="AO200" s="484"/>
    </row>
    <row r="201" spans="1:41" x14ac:dyDescent="0.35">
      <c r="A201" s="484"/>
      <c r="B201" s="484"/>
      <c r="C201" s="484"/>
      <c r="D201" s="484"/>
      <c r="E201" s="484"/>
      <c r="F201" s="484"/>
      <c r="G201" s="484"/>
      <c r="H201" s="484"/>
      <c r="I201" s="484"/>
      <c r="J201" s="484"/>
      <c r="K201" s="484"/>
      <c r="L201" s="484"/>
      <c r="M201" s="484"/>
      <c r="N201" s="484"/>
      <c r="O201" s="484"/>
      <c r="P201" s="484"/>
      <c r="Q201" s="484"/>
      <c r="R201" s="484"/>
      <c r="S201" s="484"/>
      <c r="T201" s="484"/>
      <c r="U201" s="484"/>
      <c r="V201" s="484"/>
      <c r="W201" s="484"/>
      <c r="X201" s="484"/>
      <c r="Y201" s="484"/>
      <c r="Z201" s="484"/>
      <c r="AA201" s="484"/>
      <c r="AB201" s="484"/>
      <c r="AC201" s="484"/>
      <c r="AD201" s="484"/>
      <c r="AE201" s="484"/>
      <c r="AF201" s="484"/>
      <c r="AG201" s="484"/>
      <c r="AH201" s="484"/>
      <c r="AI201" s="484"/>
      <c r="AJ201" s="484"/>
      <c r="AK201" s="484"/>
      <c r="AL201" s="484"/>
      <c r="AM201" s="484"/>
      <c r="AN201" s="484"/>
      <c r="AO201" s="484"/>
    </row>
    <row r="202" spans="1:41" x14ac:dyDescent="0.35">
      <c r="A202" s="484"/>
      <c r="B202" s="484"/>
      <c r="C202" s="484"/>
      <c r="D202" s="484"/>
      <c r="E202" s="484"/>
      <c r="F202" s="484"/>
      <c r="G202" s="484"/>
      <c r="H202" s="484"/>
      <c r="I202" s="484"/>
      <c r="J202" s="484"/>
      <c r="K202" s="484"/>
      <c r="L202" s="484"/>
      <c r="M202" s="484"/>
      <c r="N202" s="484"/>
      <c r="O202" s="484"/>
      <c r="P202" s="484"/>
      <c r="Q202" s="484"/>
      <c r="R202" s="484"/>
      <c r="S202" s="484"/>
      <c r="T202" s="484"/>
      <c r="U202" s="484"/>
      <c r="V202" s="484"/>
      <c r="W202" s="484"/>
      <c r="X202" s="484"/>
      <c r="Y202" s="484"/>
      <c r="Z202" s="484"/>
      <c r="AA202" s="484"/>
      <c r="AB202" s="484"/>
      <c r="AC202" s="484"/>
      <c r="AD202" s="484"/>
      <c r="AE202" s="484"/>
      <c r="AF202" s="484"/>
      <c r="AG202" s="484"/>
      <c r="AH202" s="484"/>
      <c r="AI202" s="484"/>
      <c r="AJ202" s="484"/>
      <c r="AK202" s="484"/>
      <c r="AL202" s="484"/>
      <c r="AM202" s="484"/>
      <c r="AN202" s="484"/>
      <c r="AO202" s="484"/>
    </row>
    <row r="203" spans="1:41" x14ac:dyDescent="0.35">
      <c r="A203" s="484"/>
      <c r="B203" s="484"/>
      <c r="C203" s="484"/>
      <c r="D203" s="484"/>
      <c r="E203" s="484"/>
      <c r="F203" s="484"/>
      <c r="G203" s="484"/>
      <c r="H203" s="484"/>
      <c r="I203" s="484"/>
      <c r="J203" s="484"/>
      <c r="K203" s="484"/>
      <c r="L203" s="484"/>
      <c r="M203" s="484"/>
      <c r="N203" s="484"/>
      <c r="O203" s="484"/>
      <c r="P203" s="484"/>
      <c r="Q203" s="484"/>
      <c r="R203" s="484"/>
      <c r="S203" s="484"/>
      <c r="T203" s="484"/>
      <c r="U203" s="484"/>
      <c r="V203" s="484"/>
      <c r="W203" s="484"/>
      <c r="X203" s="484"/>
      <c r="Y203" s="484"/>
      <c r="Z203" s="484"/>
      <c r="AA203" s="484"/>
      <c r="AB203" s="484"/>
      <c r="AC203" s="484"/>
      <c r="AD203" s="484"/>
      <c r="AE203" s="484"/>
      <c r="AF203" s="484"/>
      <c r="AG203" s="484"/>
      <c r="AH203" s="484"/>
      <c r="AI203" s="484"/>
      <c r="AJ203" s="484"/>
      <c r="AK203" s="484"/>
      <c r="AL203" s="484"/>
      <c r="AM203" s="484"/>
      <c r="AN203" s="484"/>
      <c r="AO203" s="484"/>
    </row>
    <row r="204" spans="1:41" x14ac:dyDescent="0.35">
      <c r="A204" s="484"/>
      <c r="B204" s="484"/>
      <c r="C204" s="484"/>
      <c r="D204" s="484"/>
      <c r="E204" s="484"/>
      <c r="F204" s="484"/>
      <c r="G204" s="484"/>
      <c r="H204" s="484"/>
      <c r="I204" s="484"/>
      <c r="J204" s="484"/>
      <c r="K204" s="484"/>
      <c r="L204" s="484"/>
      <c r="M204" s="484"/>
      <c r="N204" s="484"/>
      <c r="O204" s="484"/>
      <c r="P204" s="484"/>
      <c r="Q204" s="484"/>
      <c r="R204" s="484"/>
      <c r="S204" s="484"/>
      <c r="T204" s="484"/>
      <c r="U204" s="484"/>
      <c r="V204" s="484"/>
      <c r="W204" s="484"/>
      <c r="X204" s="484"/>
      <c r="Y204" s="484"/>
      <c r="Z204" s="484"/>
      <c r="AA204" s="484"/>
      <c r="AB204" s="484"/>
      <c r="AC204" s="484"/>
      <c r="AD204" s="484"/>
      <c r="AE204" s="484"/>
      <c r="AF204" s="484"/>
      <c r="AG204" s="484"/>
      <c r="AH204" s="484"/>
      <c r="AI204" s="484"/>
      <c r="AJ204" s="484"/>
      <c r="AK204" s="484"/>
      <c r="AL204" s="484"/>
      <c r="AM204" s="484"/>
      <c r="AN204" s="484"/>
      <c r="AO204" s="484"/>
    </row>
    <row r="205" spans="1:41" x14ac:dyDescent="0.35">
      <c r="A205" s="484"/>
      <c r="B205" s="484"/>
      <c r="C205" s="484"/>
      <c r="D205" s="484"/>
      <c r="E205" s="484"/>
      <c r="F205" s="484"/>
      <c r="G205" s="484"/>
      <c r="H205" s="484"/>
      <c r="I205" s="484"/>
      <c r="J205" s="484"/>
      <c r="K205" s="484"/>
      <c r="L205" s="484"/>
      <c r="M205" s="484"/>
      <c r="N205" s="484"/>
      <c r="O205" s="484"/>
      <c r="P205" s="484"/>
      <c r="Q205" s="484"/>
      <c r="R205" s="484"/>
      <c r="S205" s="484"/>
      <c r="T205" s="484"/>
      <c r="U205" s="484"/>
      <c r="V205" s="484"/>
      <c r="W205" s="484"/>
      <c r="X205" s="484"/>
      <c r="Y205" s="484"/>
      <c r="Z205" s="484"/>
      <c r="AA205" s="484"/>
      <c r="AB205" s="484"/>
      <c r="AC205" s="484"/>
      <c r="AD205" s="484"/>
      <c r="AE205" s="484"/>
      <c r="AF205" s="484"/>
      <c r="AG205" s="484"/>
      <c r="AH205" s="484"/>
      <c r="AI205" s="484"/>
      <c r="AJ205" s="484"/>
      <c r="AK205" s="484"/>
      <c r="AL205" s="484"/>
      <c r="AM205" s="484"/>
      <c r="AN205" s="484"/>
      <c r="AO205" s="484"/>
    </row>
    <row r="206" spans="1:41" x14ac:dyDescent="0.35">
      <c r="A206" s="484"/>
      <c r="B206" s="484"/>
      <c r="C206" s="484"/>
      <c r="D206" s="484"/>
      <c r="E206" s="484"/>
      <c r="F206" s="484"/>
      <c r="G206" s="484"/>
      <c r="H206" s="484"/>
      <c r="I206" s="484"/>
      <c r="J206" s="484"/>
      <c r="K206" s="484"/>
      <c r="L206" s="484"/>
      <c r="M206" s="484"/>
      <c r="N206" s="484"/>
      <c r="O206" s="484"/>
      <c r="P206" s="484"/>
      <c r="Q206" s="484"/>
      <c r="R206" s="484"/>
      <c r="S206" s="484"/>
      <c r="T206" s="484"/>
      <c r="U206" s="484"/>
      <c r="V206" s="484"/>
      <c r="W206" s="484"/>
      <c r="X206" s="484"/>
      <c r="Y206" s="484"/>
      <c r="Z206" s="484"/>
      <c r="AA206" s="484"/>
      <c r="AB206" s="484"/>
      <c r="AC206" s="484"/>
      <c r="AD206" s="484"/>
      <c r="AE206" s="484"/>
      <c r="AF206" s="484"/>
      <c r="AG206" s="484"/>
      <c r="AH206" s="484"/>
      <c r="AI206" s="484"/>
      <c r="AJ206" s="484"/>
      <c r="AK206" s="484"/>
      <c r="AL206" s="484"/>
      <c r="AM206" s="484"/>
      <c r="AN206" s="484"/>
      <c r="AO206" s="484"/>
    </row>
    <row r="207" spans="1:41" x14ac:dyDescent="0.35">
      <c r="A207" s="484"/>
      <c r="B207" s="484"/>
      <c r="C207" s="484"/>
      <c r="D207" s="484"/>
      <c r="E207" s="484"/>
      <c r="F207" s="484"/>
      <c r="G207" s="484"/>
      <c r="H207" s="484"/>
      <c r="I207" s="484"/>
      <c r="J207" s="484"/>
      <c r="K207" s="484"/>
      <c r="L207" s="484"/>
      <c r="M207" s="484"/>
      <c r="N207" s="484"/>
      <c r="O207" s="484"/>
      <c r="P207" s="484"/>
      <c r="Q207" s="484"/>
      <c r="R207" s="484"/>
      <c r="S207" s="484"/>
      <c r="T207" s="484"/>
      <c r="U207" s="484"/>
      <c r="V207" s="484"/>
      <c r="W207" s="484"/>
      <c r="X207" s="484"/>
      <c r="Y207" s="484"/>
      <c r="Z207" s="484"/>
      <c r="AA207" s="484"/>
      <c r="AB207" s="484"/>
      <c r="AC207" s="484"/>
      <c r="AD207" s="484"/>
      <c r="AE207" s="484"/>
      <c r="AF207" s="484"/>
      <c r="AG207" s="484"/>
      <c r="AH207" s="484"/>
      <c r="AI207" s="484"/>
      <c r="AJ207" s="484"/>
      <c r="AK207" s="484"/>
      <c r="AL207" s="484"/>
      <c r="AM207" s="484"/>
      <c r="AN207" s="484"/>
      <c r="AO207" s="484"/>
    </row>
    <row r="208" spans="1:41" x14ac:dyDescent="0.35">
      <c r="A208" s="484"/>
      <c r="B208" s="484"/>
      <c r="C208" s="484"/>
      <c r="D208" s="484"/>
      <c r="E208" s="484"/>
      <c r="F208" s="484"/>
      <c r="G208" s="484"/>
      <c r="H208" s="484"/>
      <c r="I208" s="484"/>
      <c r="J208" s="484"/>
      <c r="K208" s="484"/>
      <c r="L208" s="484"/>
      <c r="M208" s="484"/>
      <c r="N208" s="484"/>
      <c r="O208" s="484"/>
      <c r="P208" s="484"/>
      <c r="Q208" s="484"/>
      <c r="R208" s="484"/>
      <c r="S208" s="484"/>
      <c r="T208" s="484"/>
      <c r="U208" s="484"/>
      <c r="V208" s="484"/>
      <c r="W208" s="484"/>
      <c r="X208" s="484"/>
      <c r="Y208" s="484"/>
      <c r="Z208" s="484"/>
      <c r="AA208" s="484"/>
      <c r="AB208" s="484"/>
      <c r="AC208" s="484"/>
      <c r="AD208" s="484"/>
      <c r="AE208" s="484"/>
      <c r="AF208" s="484"/>
      <c r="AG208" s="484"/>
      <c r="AH208" s="484"/>
      <c r="AI208" s="484"/>
      <c r="AJ208" s="484"/>
      <c r="AK208" s="484"/>
      <c r="AL208" s="484"/>
      <c r="AM208" s="484"/>
      <c r="AN208" s="484"/>
      <c r="AO208" s="484"/>
    </row>
    <row r="209" spans="1:41" x14ac:dyDescent="0.35">
      <c r="A209" s="484"/>
      <c r="B209" s="484"/>
      <c r="C209" s="484"/>
      <c r="D209" s="484"/>
      <c r="E209" s="484"/>
      <c r="F209" s="484"/>
      <c r="G209" s="484"/>
      <c r="H209" s="484"/>
      <c r="I209" s="484"/>
      <c r="J209" s="484"/>
      <c r="K209" s="484"/>
      <c r="L209" s="484"/>
      <c r="M209" s="484"/>
      <c r="N209" s="484"/>
      <c r="O209" s="484"/>
      <c r="P209" s="484"/>
      <c r="Q209" s="484"/>
      <c r="R209" s="484"/>
      <c r="S209" s="484"/>
      <c r="T209" s="484"/>
      <c r="U209" s="484"/>
      <c r="V209" s="484"/>
      <c r="W209" s="484"/>
      <c r="X209" s="484"/>
      <c r="Y209" s="484"/>
      <c r="Z209" s="484"/>
      <c r="AA209" s="484"/>
      <c r="AB209" s="484"/>
      <c r="AC209" s="484"/>
      <c r="AD209" s="484"/>
      <c r="AE209" s="484"/>
      <c r="AF209" s="484"/>
      <c r="AG209" s="484"/>
      <c r="AH209" s="484"/>
      <c r="AI209" s="484"/>
      <c r="AJ209" s="484"/>
      <c r="AK209" s="484"/>
      <c r="AL209" s="484"/>
      <c r="AM209" s="484"/>
      <c r="AN209" s="484"/>
      <c r="AO209" s="484"/>
    </row>
    <row r="210" spans="1:41" x14ac:dyDescent="0.35">
      <c r="A210" s="484"/>
      <c r="B210" s="484"/>
      <c r="C210" s="484"/>
      <c r="D210" s="484"/>
      <c r="E210" s="484"/>
      <c r="F210" s="484"/>
      <c r="G210" s="484"/>
      <c r="H210" s="484"/>
      <c r="I210" s="484"/>
      <c r="J210" s="484"/>
      <c r="K210" s="484"/>
      <c r="L210" s="484"/>
      <c r="M210" s="484"/>
      <c r="N210" s="484"/>
      <c r="O210" s="484"/>
      <c r="P210" s="484"/>
      <c r="Q210" s="484"/>
      <c r="R210" s="484"/>
      <c r="S210" s="484"/>
      <c r="T210" s="484"/>
      <c r="U210" s="484"/>
      <c r="V210" s="484"/>
      <c r="W210" s="484"/>
      <c r="X210" s="484"/>
      <c r="Y210" s="484"/>
      <c r="Z210" s="484"/>
      <c r="AA210" s="484"/>
      <c r="AB210" s="484"/>
      <c r="AC210" s="484"/>
      <c r="AD210" s="484"/>
      <c r="AE210" s="484"/>
      <c r="AF210" s="484"/>
      <c r="AG210" s="484"/>
      <c r="AH210" s="484"/>
      <c r="AI210" s="484"/>
      <c r="AJ210" s="484"/>
      <c r="AK210" s="484"/>
      <c r="AL210" s="484"/>
      <c r="AM210" s="484"/>
      <c r="AN210" s="484"/>
      <c r="AO210" s="484"/>
    </row>
    <row r="211" spans="1:41" x14ac:dyDescent="0.35">
      <c r="A211" s="484"/>
      <c r="B211" s="484"/>
      <c r="C211" s="484"/>
      <c r="D211" s="484"/>
      <c r="E211" s="484"/>
      <c r="F211" s="484"/>
      <c r="G211" s="484"/>
      <c r="H211" s="484"/>
      <c r="I211" s="484"/>
      <c r="J211" s="484"/>
      <c r="K211" s="484"/>
      <c r="L211" s="484"/>
      <c r="M211" s="484"/>
      <c r="N211" s="484"/>
      <c r="O211" s="484"/>
      <c r="P211" s="484"/>
      <c r="Q211" s="484"/>
      <c r="R211" s="484"/>
      <c r="S211" s="484"/>
      <c r="T211" s="484"/>
      <c r="U211" s="484"/>
      <c r="V211" s="484"/>
      <c r="W211" s="484"/>
      <c r="X211" s="484"/>
      <c r="Y211" s="484"/>
      <c r="Z211" s="484"/>
      <c r="AA211" s="484"/>
      <c r="AB211" s="484"/>
      <c r="AC211" s="484"/>
      <c r="AD211" s="484"/>
      <c r="AE211" s="484"/>
      <c r="AF211" s="484"/>
      <c r="AG211" s="484"/>
      <c r="AH211" s="484"/>
      <c r="AI211" s="484"/>
      <c r="AJ211" s="484"/>
      <c r="AK211" s="484"/>
      <c r="AL211" s="484"/>
      <c r="AM211" s="484"/>
      <c r="AN211" s="484"/>
      <c r="AO211" s="484"/>
    </row>
    <row r="212" spans="1:41" x14ac:dyDescent="0.35">
      <c r="A212" s="484"/>
      <c r="B212" s="484"/>
      <c r="C212" s="484"/>
      <c r="D212" s="484"/>
      <c r="E212" s="484"/>
      <c r="F212" s="484"/>
      <c r="G212" s="484"/>
      <c r="H212" s="484"/>
      <c r="I212" s="484"/>
      <c r="J212" s="484"/>
      <c r="K212" s="484"/>
      <c r="L212" s="484"/>
      <c r="M212" s="484"/>
      <c r="N212" s="484"/>
      <c r="O212" s="484"/>
      <c r="P212" s="484"/>
      <c r="Q212" s="484"/>
      <c r="R212" s="484"/>
      <c r="S212" s="484"/>
      <c r="T212" s="484"/>
      <c r="U212" s="484"/>
      <c r="V212" s="484"/>
      <c r="W212" s="484"/>
      <c r="X212" s="484"/>
      <c r="Y212" s="484"/>
      <c r="Z212" s="484"/>
      <c r="AA212" s="484"/>
      <c r="AB212" s="484"/>
      <c r="AC212" s="484"/>
      <c r="AD212" s="484"/>
      <c r="AE212" s="484"/>
      <c r="AF212" s="484"/>
      <c r="AG212" s="484"/>
      <c r="AH212" s="484"/>
      <c r="AI212" s="484"/>
      <c r="AJ212" s="484"/>
      <c r="AK212" s="484"/>
      <c r="AL212" s="484"/>
      <c r="AM212" s="484"/>
      <c r="AN212" s="484"/>
      <c r="AO212" s="484"/>
    </row>
    <row r="213" spans="1:41" x14ac:dyDescent="0.35">
      <c r="A213" s="484"/>
      <c r="B213" s="484"/>
      <c r="C213" s="484"/>
      <c r="D213" s="484"/>
      <c r="E213" s="484"/>
      <c r="F213" s="484"/>
      <c r="G213" s="484"/>
      <c r="H213" s="484"/>
      <c r="I213" s="484"/>
      <c r="J213" s="484"/>
      <c r="K213" s="484"/>
      <c r="L213" s="484"/>
      <c r="M213" s="484"/>
      <c r="N213" s="484"/>
      <c r="O213" s="484"/>
      <c r="P213" s="484"/>
      <c r="Q213" s="484"/>
      <c r="R213" s="484"/>
      <c r="S213" s="484"/>
      <c r="T213" s="484"/>
      <c r="U213" s="484"/>
      <c r="V213" s="484"/>
      <c r="W213" s="484"/>
      <c r="X213" s="484"/>
      <c r="Y213" s="484"/>
      <c r="Z213" s="484"/>
      <c r="AA213" s="484"/>
      <c r="AB213" s="484"/>
      <c r="AC213" s="484"/>
      <c r="AD213" s="484"/>
      <c r="AE213" s="484"/>
      <c r="AF213" s="484"/>
      <c r="AG213" s="484"/>
      <c r="AH213" s="484"/>
      <c r="AI213" s="484"/>
      <c r="AJ213" s="484"/>
      <c r="AK213" s="484"/>
      <c r="AL213" s="484"/>
      <c r="AM213" s="484"/>
      <c r="AN213" s="484"/>
      <c r="AO213" s="484"/>
    </row>
    <row r="214" spans="1:41" x14ac:dyDescent="0.35">
      <c r="A214" s="484"/>
      <c r="B214" s="484"/>
      <c r="C214" s="484"/>
      <c r="D214" s="484"/>
      <c r="E214" s="484"/>
      <c r="F214" s="484"/>
      <c r="G214" s="484"/>
      <c r="H214" s="484"/>
      <c r="I214" s="484"/>
      <c r="J214" s="484"/>
      <c r="K214" s="484"/>
      <c r="L214" s="484"/>
      <c r="M214" s="484"/>
      <c r="N214" s="484"/>
      <c r="O214" s="484"/>
      <c r="P214" s="484"/>
      <c r="Q214" s="484"/>
      <c r="R214" s="484"/>
      <c r="S214" s="484"/>
      <c r="T214" s="484"/>
      <c r="U214" s="484"/>
      <c r="V214" s="484"/>
      <c r="W214" s="484"/>
      <c r="X214" s="484"/>
      <c r="Y214" s="484"/>
      <c r="Z214" s="484"/>
      <c r="AA214" s="484"/>
      <c r="AB214" s="484"/>
      <c r="AC214" s="484"/>
      <c r="AD214" s="484"/>
      <c r="AE214" s="484"/>
      <c r="AF214" s="484"/>
      <c r="AG214" s="484"/>
      <c r="AH214" s="484"/>
      <c r="AI214" s="484"/>
      <c r="AJ214" s="484"/>
      <c r="AK214" s="484"/>
      <c r="AL214" s="484"/>
      <c r="AM214" s="484"/>
      <c r="AN214" s="484"/>
      <c r="AO214" s="484"/>
    </row>
    <row r="215" spans="1:41" x14ac:dyDescent="0.35">
      <c r="A215" s="484"/>
      <c r="B215" s="484"/>
      <c r="C215" s="484"/>
      <c r="D215" s="484"/>
      <c r="E215" s="484"/>
      <c r="F215" s="484"/>
      <c r="G215" s="484"/>
      <c r="H215" s="484"/>
      <c r="I215" s="484"/>
      <c r="J215" s="484"/>
      <c r="K215" s="484"/>
      <c r="L215" s="484"/>
      <c r="M215" s="484"/>
      <c r="N215" s="484"/>
      <c r="O215" s="484"/>
      <c r="P215" s="484"/>
      <c r="Q215" s="484"/>
      <c r="R215" s="484"/>
      <c r="S215" s="484"/>
      <c r="T215" s="484"/>
      <c r="U215" s="484"/>
      <c r="V215" s="484"/>
      <c r="W215" s="484"/>
      <c r="X215" s="484"/>
      <c r="Y215" s="484"/>
      <c r="Z215" s="484"/>
      <c r="AA215" s="484"/>
      <c r="AB215" s="484"/>
      <c r="AC215" s="484"/>
      <c r="AD215" s="484"/>
      <c r="AE215" s="484"/>
      <c r="AF215" s="484"/>
      <c r="AG215" s="484"/>
      <c r="AH215" s="484"/>
      <c r="AI215" s="484"/>
      <c r="AJ215" s="484"/>
      <c r="AK215" s="484"/>
      <c r="AL215" s="484"/>
      <c r="AM215" s="484"/>
      <c r="AN215" s="484"/>
      <c r="AO215" s="484"/>
    </row>
    <row r="216" spans="1:41" x14ac:dyDescent="0.35">
      <c r="A216" s="484"/>
      <c r="B216" s="484"/>
      <c r="C216" s="484"/>
      <c r="D216" s="484"/>
      <c r="E216" s="484"/>
      <c r="F216" s="484"/>
      <c r="G216" s="484"/>
      <c r="H216" s="484"/>
      <c r="I216" s="484"/>
      <c r="J216" s="484"/>
      <c r="K216" s="484"/>
      <c r="L216" s="484"/>
      <c r="M216" s="484"/>
      <c r="N216" s="484"/>
      <c r="O216" s="484"/>
      <c r="P216" s="484"/>
      <c r="Q216" s="484"/>
      <c r="R216" s="484"/>
      <c r="S216" s="484"/>
      <c r="T216" s="484"/>
      <c r="U216" s="484"/>
      <c r="V216" s="484"/>
      <c r="W216" s="484"/>
      <c r="X216" s="484"/>
      <c r="Y216" s="484"/>
      <c r="Z216" s="484"/>
      <c r="AA216" s="484"/>
      <c r="AB216" s="484"/>
      <c r="AC216" s="484"/>
      <c r="AD216" s="484"/>
      <c r="AE216" s="484"/>
      <c r="AF216" s="484"/>
      <c r="AG216" s="484"/>
      <c r="AH216" s="484"/>
      <c r="AI216" s="484"/>
      <c r="AJ216" s="484"/>
      <c r="AK216" s="484"/>
      <c r="AL216" s="484"/>
      <c r="AM216" s="484"/>
      <c r="AN216" s="484"/>
      <c r="AO216" s="484"/>
    </row>
    <row r="217" spans="1:41" x14ac:dyDescent="0.35">
      <c r="A217" s="484"/>
      <c r="B217" s="484"/>
      <c r="C217" s="484"/>
      <c r="D217" s="484"/>
      <c r="E217" s="484"/>
      <c r="F217" s="484"/>
      <c r="G217" s="484"/>
      <c r="H217" s="484"/>
      <c r="I217" s="484"/>
      <c r="J217" s="484"/>
      <c r="K217" s="484"/>
      <c r="L217" s="484"/>
      <c r="M217" s="484"/>
      <c r="N217" s="484"/>
      <c r="O217" s="484"/>
      <c r="P217" s="484"/>
      <c r="Q217" s="484"/>
      <c r="R217" s="484"/>
      <c r="S217" s="484"/>
      <c r="T217" s="484"/>
      <c r="U217" s="484"/>
      <c r="V217" s="484"/>
      <c r="W217" s="484"/>
      <c r="X217" s="484"/>
      <c r="Y217" s="484"/>
      <c r="Z217" s="484"/>
      <c r="AA217" s="484"/>
      <c r="AB217" s="484"/>
      <c r="AC217" s="484"/>
      <c r="AD217" s="484"/>
      <c r="AE217" s="484"/>
      <c r="AF217" s="484"/>
      <c r="AG217" s="484"/>
      <c r="AH217" s="484"/>
      <c r="AI217" s="484"/>
      <c r="AJ217" s="484"/>
      <c r="AK217" s="484"/>
      <c r="AL217" s="484"/>
      <c r="AM217" s="484"/>
      <c r="AN217" s="484"/>
      <c r="AO217" s="484"/>
    </row>
    <row r="218" spans="1:41" x14ac:dyDescent="0.35">
      <c r="A218" s="484"/>
      <c r="B218" s="484"/>
      <c r="C218" s="484"/>
      <c r="D218" s="484"/>
      <c r="E218" s="484"/>
      <c r="F218" s="484"/>
      <c r="G218" s="484"/>
      <c r="H218" s="484"/>
      <c r="I218" s="484"/>
      <c r="J218" s="484"/>
      <c r="K218" s="484"/>
      <c r="L218" s="484"/>
      <c r="M218" s="484"/>
      <c r="N218" s="484"/>
      <c r="O218" s="484"/>
      <c r="P218" s="484"/>
      <c r="Q218" s="484"/>
      <c r="R218" s="484"/>
      <c r="S218" s="484"/>
      <c r="T218" s="484"/>
      <c r="U218" s="484"/>
      <c r="V218" s="484"/>
      <c r="W218" s="484"/>
      <c r="X218" s="484"/>
      <c r="Y218" s="484"/>
      <c r="Z218" s="484"/>
      <c r="AA218" s="484"/>
      <c r="AB218" s="484"/>
      <c r="AC218" s="484"/>
      <c r="AD218" s="484"/>
      <c r="AE218" s="484"/>
      <c r="AF218" s="484"/>
      <c r="AG218" s="484"/>
      <c r="AH218" s="484"/>
      <c r="AI218" s="484"/>
      <c r="AJ218" s="484"/>
      <c r="AK218" s="484"/>
      <c r="AL218" s="484"/>
      <c r="AM218" s="484"/>
      <c r="AN218" s="484"/>
      <c r="AO218" s="484"/>
    </row>
    <row r="219" spans="1:41" x14ac:dyDescent="0.35">
      <c r="A219" s="484"/>
      <c r="B219" s="484"/>
      <c r="C219" s="484"/>
      <c r="D219" s="484"/>
      <c r="E219" s="484"/>
      <c r="F219" s="484"/>
      <c r="G219" s="484"/>
      <c r="H219" s="484"/>
      <c r="I219" s="484"/>
      <c r="J219" s="484"/>
      <c r="K219" s="484"/>
      <c r="L219" s="484"/>
      <c r="M219" s="484"/>
      <c r="N219" s="484"/>
      <c r="O219" s="484"/>
      <c r="P219" s="484"/>
      <c r="Q219" s="484"/>
      <c r="R219" s="484"/>
      <c r="S219" s="484"/>
      <c r="T219" s="484"/>
      <c r="U219" s="484"/>
      <c r="V219" s="484"/>
      <c r="W219" s="484"/>
      <c r="X219" s="484"/>
      <c r="Y219" s="484"/>
      <c r="Z219" s="484"/>
      <c r="AA219" s="484"/>
      <c r="AB219" s="484"/>
      <c r="AC219" s="484"/>
      <c r="AD219" s="484"/>
      <c r="AE219" s="484"/>
      <c r="AF219" s="484"/>
      <c r="AG219" s="484"/>
      <c r="AH219" s="484"/>
      <c r="AI219" s="484"/>
      <c r="AJ219" s="484"/>
      <c r="AK219" s="484"/>
      <c r="AL219" s="484"/>
      <c r="AM219" s="484"/>
      <c r="AN219" s="484"/>
      <c r="AO219" s="484"/>
    </row>
    <row r="220" spans="1:41" x14ac:dyDescent="0.35">
      <c r="A220" s="484"/>
      <c r="B220" s="484"/>
      <c r="C220" s="484"/>
      <c r="D220" s="484"/>
      <c r="E220" s="484"/>
      <c r="F220" s="484"/>
      <c r="G220" s="484"/>
      <c r="H220" s="484"/>
      <c r="I220" s="484"/>
      <c r="J220" s="484"/>
      <c r="K220" s="484"/>
      <c r="L220" s="484"/>
      <c r="M220" s="484"/>
      <c r="N220" s="484"/>
      <c r="O220" s="484"/>
      <c r="P220" s="484"/>
      <c r="Q220" s="484"/>
      <c r="R220" s="484"/>
      <c r="S220" s="484"/>
      <c r="T220" s="484"/>
      <c r="U220" s="484"/>
      <c r="V220" s="484"/>
      <c r="W220" s="484"/>
      <c r="X220" s="484"/>
      <c r="Y220" s="484"/>
      <c r="Z220" s="484"/>
      <c r="AA220" s="484"/>
      <c r="AB220" s="484"/>
      <c r="AC220" s="484"/>
      <c r="AD220" s="484"/>
      <c r="AE220" s="484"/>
      <c r="AF220" s="484"/>
      <c r="AG220" s="484"/>
      <c r="AH220" s="484"/>
      <c r="AI220" s="484"/>
      <c r="AJ220" s="484"/>
      <c r="AK220" s="484"/>
      <c r="AL220" s="484"/>
      <c r="AM220" s="484"/>
      <c r="AN220" s="484"/>
      <c r="AO220" s="484"/>
    </row>
    <row r="221" spans="1:41" x14ac:dyDescent="0.35">
      <c r="A221" s="484"/>
      <c r="B221" s="484"/>
      <c r="C221" s="484"/>
      <c r="D221" s="484"/>
      <c r="E221" s="484"/>
      <c r="F221" s="484"/>
      <c r="G221" s="484"/>
      <c r="H221" s="484"/>
      <c r="I221" s="484"/>
      <c r="J221" s="484"/>
      <c r="K221" s="484"/>
      <c r="L221" s="484"/>
      <c r="M221" s="484"/>
      <c r="N221" s="484"/>
      <c r="O221" s="484"/>
      <c r="P221" s="484"/>
      <c r="Q221" s="484"/>
      <c r="R221" s="484"/>
      <c r="S221" s="484"/>
      <c r="T221" s="484"/>
      <c r="U221" s="484"/>
      <c r="V221" s="484"/>
      <c r="W221" s="484"/>
      <c r="X221" s="484"/>
      <c r="Y221" s="484"/>
      <c r="Z221" s="484"/>
      <c r="AA221" s="484"/>
      <c r="AB221" s="484"/>
      <c r="AC221" s="484"/>
      <c r="AD221" s="484"/>
      <c r="AE221" s="484"/>
      <c r="AF221" s="484"/>
      <c r="AG221" s="484"/>
      <c r="AH221" s="484"/>
      <c r="AI221" s="484"/>
      <c r="AJ221" s="484"/>
      <c r="AK221" s="484"/>
      <c r="AL221" s="484"/>
      <c r="AM221" s="484"/>
      <c r="AN221" s="484"/>
      <c r="AO221" s="484"/>
    </row>
    <row r="222" spans="1:41" x14ac:dyDescent="0.35">
      <c r="A222" s="484"/>
      <c r="B222" s="484"/>
      <c r="C222" s="484"/>
      <c r="D222" s="484"/>
      <c r="E222" s="484"/>
      <c r="F222" s="484"/>
      <c r="G222" s="484"/>
      <c r="H222" s="484"/>
      <c r="I222" s="484"/>
      <c r="J222" s="484"/>
      <c r="K222" s="484"/>
      <c r="L222" s="484"/>
      <c r="M222" s="484"/>
      <c r="N222" s="484"/>
      <c r="O222" s="484"/>
      <c r="P222" s="484"/>
      <c r="Q222" s="484"/>
      <c r="R222" s="484"/>
      <c r="S222" s="484"/>
      <c r="T222" s="484"/>
      <c r="U222" s="484"/>
      <c r="V222" s="484"/>
      <c r="W222" s="484"/>
      <c r="X222" s="484"/>
      <c r="Y222" s="484"/>
      <c r="Z222" s="484"/>
      <c r="AA222" s="484"/>
      <c r="AB222" s="484"/>
      <c r="AC222" s="484"/>
      <c r="AD222" s="484"/>
      <c r="AE222" s="484"/>
      <c r="AF222" s="484"/>
      <c r="AG222" s="484"/>
      <c r="AH222" s="484"/>
      <c r="AI222" s="484"/>
      <c r="AJ222" s="484"/>
      <c r="AK222" s="484"/>
      <c r="AL222" s="484"/>
      <c r="AM222" s="484"/>
      <c r="AN222" s="484"/>
      <c r="AO222" s="484"/>
    </row>
    <row r="223" spans="1:41" x14ac:dyDescent="0.35">
      <c r="A223" s="484"/>
      <c r="B223" s="484"/>
      <c r="C223" s="484"/>
      <c r="D223" s="484"/>
      <c r="E223" s="484"/>
      <c r="F223" s="484"/>
      <c r="G223" s="484"/>
      <c r="H223" s="484"/>
      <c r="I223" s="484"/>
      <c r="J223" s="484"/>
      <c r="K223" s="484"/>
      <c r="L223" s="484"/>
      <c r="M223" s="484"/>
      <c r="N223" s="484"/>
      <c r="O223" s="484"/>
      <c r="P223" s="484"/>
      <c r="Q223" s="484"/>
      <c r="R223" s="484"/>
      <c r="S223" s="484"/>
      <c r="T223" s="484"/>
      <c r="U223" s="484"/>
      <c r="V223" s="484"/>
      <c r="W223" s="484"/>
      <c r="X223" s="484"/>
      <c r="Y223" s="484"/>
      <c r="Z223" s="484"/>
      <c r="AA223" s="484"/>
      <c r="AB223" s="484"/>
      <c r="AC223" s="484"/>
      <c r="AD223" s="484"/>
      <c r="AE223" s="484"/>
      <c r="AF223" s="484"/>
      <c r="AG223" s="484"/>
      <c r="AH223" s="484"/>
      <c r="AI223" s="484"/>
      <c r="AJ223" s="484"/>
      <c r="AK223" s="484"/>
      <c r="AL223" s="484"/>
      <c r="AM223" s="484"/>
      <c r="AN223" s="484"/>
      <c r="AO223" s="484"/>
    </row>
    <row r="224" spans="1:41" x14ac:dyDescent="0.35">
      <c r="A224" s="484"/>
      <c r="B224" s="484"/>
      <c r="C224" s="484"/>
      <c r="D224" s="484"/>
      <c r="E224" s="484"/>
      <c r="F224" s="484"/>
      <c r="G224" s="484"/>
      <c r="H224" s="484"/>
      <c r="I224" s="484"/>
      <c r="J224" s="484"/>
      <c r="K224" s="484"/>
      <c r="L224" s="484"/>
      <c r="M224" s="484"/>
      <c r="N224" s="484"/>
      <c r="O224" s="484"/>
      <c r="P224" s="484"/>
      <c r="Q224" s="484"/>
      <c r="R224" s="484"/>
      <c r="S224" s="484"/>
      <c r="T224" s="484"/>
      <c r="U224" s="484"/>
      <c r="V224" s="484"/>
      <c r="W224" s="484"/>
      <c r="X224" s="484"/>
      <c r="Y224" s="484"/>
      <c r="Z224" s="484"/>
      <c r="AA224" s="484"/>
      <c r="AB224" s="484"/>
      <c r="AC224" s="484"/>
      <c r="AD224" s="484"/>
      <c r="AE224" s="484"/>
      <c r="AF224" s="484"/>
      <c r="AG224" s="484"/>
      <c r="AH224" s="484"/>
      <c r="AI224" s="484"/>
      <c r="AJ224" s="484"/>
      <c r="AK224" s="484"/>
      <c r="AL224" s="484"/>
      <c r="AM224" s="484"/>
      <c r="AN224" s="484"/>
      <c r="AO224" s="484"/>
    </row>
    <row r="225" spans="1:41" x14ac:dyDescent="0.35">
      <c r="A225" s="484"/>
      <c r="B225" s="484"/>
      <c r="C225" s="484"/>
      <c r="D225" s="484"/>
      <c r="E225" s="484"/>
      <c r="F225" s="484"/>
      <c r="G225" s="484"/>
      <c r="H225" s="484"/>
      <c r="I225" s="484"/>
      <c r="J225" s="484"/>
      <c r="K225" s="484"/>
      <c r="L225" s="484"/>
      <c r="M225" s="484"/>
      <c r="N225" s="484"/>
      <c r="O225" s="484"/>
      <c r="P225" s="484"/>
      <c r="Q225" s="484"/>
      <c r="R225" s="484"/>
      <c r="S225" s="484"/>
      <c r="T225" s="484"/>
      <c r="U225" s="484"/>
      <c r="V225" s="484"/>
      <c r="W225" s="484"/>
      <c r="X225" s="484"/>
      <c r="Y225" s="484"/>
      <c r="Z225" s="484"/>
      <c r="AA225" s="484"/>
      <c r="AB225" s="484"/>
      <c r="AC225" s="484"/>
      <c r="AD225" s="484"/>
      <c r="AE225" s="484"/>
      <c r="AF225" s="484"/>
      <c r="AG225" s="484"/>
      <c r="AH225" s="484"/>
      <c r="AI225" s="484"/>
      <c r="AJ225" s="484"/>
      <c r="AK225" s="484"/>
      <c r="AL225" s="484"/>
      <c r="AM225" s="484"/>
      <c r="AN225" s="484"/>
      <c r="AO225" s="484"/>
    </row>
    <row r="226" spans="1:41" x14ac:dyDescent="0.35">
      <c r="A226" s="484"/>
      <c r="B226" s="484"/>
      <c r="C226" s="484"/>
      <c r="D226" s="484"/>
      <c r="E226" s="484"/>
      <c r="F226" s="484"/>
      <c r="G226" s="484"/>
      <c r="H226" s="484"/>
      <c r="I226" s="484"/>
      <c r="J226" s="484"/>
      <c r="K226" s="484"/>
      <c r="L226" s="484"/>
      <c r="M226" s="484"/>
      <c r="N226" s="484"/>
      <c r="O226" s="484"/>
      <c r="P226" s="484"/>
      <c r="Q226" s="484"/>
      <c r="R226" s="484"/>
      <c r="S226" s="484"/>
      <c r="T226" s="484"/>
      <c r="U226" s="484"/>
      <c r="V226" s="484"/>
      <c r="W226" s="484"/>
      <c r="X226" s="484"/>
      <c r="Y226" s="484"/>
      <c r="Z226" s="484"/>
      <c r="AA226" s="484"/>
      <c r="AB226" s="484"/>
      <c r="AC226" s="484"/>
      <c r="AD226" s="484"/>
      <c r="AE226" s="484"/>
      <c r="AF226" s="484"/>
      <c r="AG226" s="484"/>
      <c r="AH226" s="484"/>
      <c r="AI226" s="484"/>
      <c r="AJ226" s="484"/>
      <c r="AK226" s="484"/>
      <c r="AL226" s="484"/>
      <c r="AM226" s="484"/>
      <c r="AN226" s="484"/>
      <c r="AO226" s="484"/>
    </row>
    <row r="227" spans="1:41" x14ac:dyDescent="0.35">
      <c r="A227" s="484"/>
      <c r="B227" s="484"/>
      <c r="C227" s="484"/>
      <c r="D227" s="484"/>
      <c r="E227" s="484"/>
      <c r="F227" s="484"/>
      <c r="G227" s="484"/>
      <c r="H227" s="484"/>
      <c r="I227" s="484"/>
      <c r="J227" s="484"/>
      <c r="K227" s="484"/>
      <c r="L227" s="484"/>
      <c r="M227" s="484"/>
      <c r="N227" s="484"/>
      <c r="O227" s="484"/>
      <c r="P227" s="484"/>
      <c r="Q227" s="484"/>
      <c r="R227" s="484"/>
      <c r="S227" s="484"/>
      <c r="T227" s="484"/>
      <c r="U227" s="484"/>
      <c r="V227" s="484"/>
      <c r="W227" s="484"/>
      <c r="X227" s="484"/>
      <c r="Y227" s="484"/>
      <c r="Z227" s="484"/>
      <c r="AA227" s="484"/>
      <c r="AB227" s="484"/>
      <c r="AC227" s="484"/>
      <c r="AD227" s="484"/>
      <c r="AE227" s="484"/>
      <c r="AF227" s="484"/>
      <c r="AG227" s="484"/>
      <c r="AH227" s="484"/>
      <c r="AI227" s="484"/>
      <c r="AJ227" s="484"/>
      <c r="AK227" s="484"/>
      <c r="AL227" s="484"/>
      <c r="AM227" s="484"/>
      <c r="AN227" s="484"/>
      <c r="AO227" s="484"/>
    </row>
    <row r="228" spans="1:41" x14ac:dyDescent="0.35">
      <c r="A228" s="484"/>
      <c r="B228" s="484"/>
      <c r="C228" s="484"/>
      <c r="D228" s="484"/>
      <c r="E228" s="484"/>
      <c r="F228" s="484"/>
      <c r="G228" s="484"/>
      <c r="H228" s="484"/>
      <c r="I228" s="484"/>
      <c r="J228" s="484"/>
      <c r="K228" s="484"/>
      <c r="L228" s="484"/>
      <c r="M228" s="484"/>
      <c r="N228" s="484"/>
      <c r="O228" s="484"/>
      <c r="P228" s="484"/>
      <c r="Q228" s="484"/>
      <c r="R228" s="484"/>
      <c r="S228" s="484"/>
      <c r="T228" s="484"/>
      <c r="U228" s="484"/>
      <c r="V228" s="484"/>
      <c r="W228" s="484"/>
      <c r="X228" s="484"/>
      <c r="Y228" s="484"/>
      <c r="Z228" s="484"/>
      <c r="AA228" s="484"/>
      <c r="AB228" s="484"/>
      <c r="AC228" s="484"/>
      <c r="AD228" s="484"/>
      <c r="AE228" s="484"/>
      <c r="AF228" s="484"/>
      <c r="AG228" s="484"/>
      <c r="AH228" s="484"/>
      <c r="AI228" s="484"/>
      <c r="AJ228" s="484"/>
      <c r="AK228" s="484"/>
      <c r="AL228" s="484"/>
      <c r="AM228" s="484"/>
      <c r="AN228" s="484"/>
      <c r="AO228" s="484"/>
    </row>
    <row r="229" spans="1:41" x14ac:dyDescent="0.35">
      <c r="A229" s="484"/>
      <c r="B229" s="484"/>
      <c r="C229" s="484"/>
      <c r="D229" s="484"/>
      <c r="E229" s="484"/>
      <c r="F229" s="484"/>
      <c r="G229" s="484"/>
      <c r="H229" s="484"/>
      <c r="I229" s="484"/>
      <c r="J229" s="484"/>
      <c r="K229" s="484"/>
      <c r="L229" s="484"/>
      <c r="M229" s="484"/>
      <c r="N229" s="484"/>
      <c r="O229" s="484"/>
      <c r="P229" s="484"/>
      <c r="Q229" s="484"/>
      <c r="R229" s="484"/>
      <c r="S229" s="484"/>
      <c r="T229" s="484"/>
      <c r="U229" s="484"/>
      <c r="V229" s="484"/>
      <c r="W229" s="484"/>
      <c r="X229" s="484"/>
      <c r="Y229" s="484"/>
      <c r="Z229" s="484"/>
      <c r="AA229" s="484"/>
      <c r="AB229" s="484"/>
      <c r="AC229" s="484"/>
      <c r="AD229" s="484"/>
      <c r="AE229" s="484"/>
      <c r="AF229" s="484"/>
      <c r="AG229" s="484"/>
      <c r="AH229" s="484"/>
      <c r="AI229" s="484"/>
      <c r="AJ229" s="484"/>
      <c r="AK229" s="484"/>
      <c r="AL229" s="484"/>
      <c r="AM229" s="484"/>
      <c r="AN229" s="484"/>
      <c r="AO229" s="484"/>
    </row>
    <row r="230" spans="1:41" x14ac:dyDescent="0.35">
      <c r="A230" s="484"/>
      <c r="B230" s="484"/>
      <c r="C230" s="484"/>
      <c r="D230" s="484"/>
      <c r="E230" s="484"/>
      <c r="F230" s="484"/>
      <c r="G230" s="484"/>
      <c r="H230" s="484"/>
      <c r="I230" s="484"/>
      <c r="J230" s="484"/>
      <c r="K230" s="484"/>
      <c r="L230" s="484"/>
      <c r="M230" s="484"/>
      <c r="N230" s="484"/>
      <c r="O230" s="484"/>
      <c r="P230" s="484"/>
      <c r="Q230" s="484"/>
      <c r="R230" s="484"/>
      <c r="S230" s="484"/>
      <c r="T230" s="484"/>
      <c r="U230" s="484"/>
      <c r="V230" s="484"/>
      <c r="W230" s="484"/>
      <c r="X230" s="484"/>
      <c r="Y230" s="484"/>
      <c r="Z230" s="484"/>
      <c r="AA230" s="484"/>
      <c r="AB230" s="484"/>
      <c r="AC230" s="484"/>
      <c r="AD230" s="484"/>
      <c r="AE230" s="484"/>
      <c r="AF230" s="484"/>
      <c r="AG230" s="484"/>
      <c r="AH230" s="484"/>
      <c r="AI230" s="484"/>
      <c r="AJ230" s="484"/>
      <c r="AK230" s="484"/>
      <c r="AL230" s="484"/>
      <c r="AM230" s="484"/>
      <c r="AN230" s="484"/>
      <c r="AO230" s="484"/>
    </row>
    <row r="231" spans="1:41" x14ac:dyDescent="0.35">
      <c r="A231" s="484"/>
      <c r="B231" s="484"/>
      <c r="C231" s="484"/>
      <c r="D231" s="484"/>
      <c r="E231" s="484"/>
      <c r="F231" s="484"/>
      <c r="G231" s="484"/>
      <c r="H231" s="484"/>
      <c r="I231" s="484"/>
      <c r="J231" s="484"/>
      <c r="K231" s="484"/>
      <c r="L231" s="484"/>
      <c r="M231" s="484"/>
      <c r="N231" s="484"/>
      <c r="O231" s="484"/>
      <c r="P231" s="484"/>
      <c r="Q231" s="484"/>
      <c r="R231" s="484"/>
      <c r="S231" s="484"/>
      <c r="T231" s="484"/>
      <c r="U231" s="484"/>
      <c r="V231" s="484"/>
      <c r="W231" s="484"/>
      <c r="X231" s="484"/>
      <c r="Y231" s="484"/>
      <c r="Z231" s="484"/>
      <c r="AA231" s="484"/>
      <c r="AB231" s="484"/>
      <c r="AC231" s="484"/>
      <c r="AD231" s="484"/>
      <c r="AE231" s="484"/>
      <c r="AF231" s="484"/>
      <c r="AG231" s="484"/>
      <c r="AH231" s="484"/>
      <c r="AI231" s="484"/>
      <c r="AJ231" s="484"/>
      <c r="AK231" s="484"/>
      <c r="AL231" s="484"/>
      <c r="AM231" s="484"/>
      <c r="AN231" s="484"/>
      <c r="AO231" s="484"/>
    </row>
    <row r="232" spans="1:41" x14ac:dyDescent="0.35">
      <c r="A232" s="484"/>
      <c r="B232" s="484"/>
      <c r="C232" s="484"/>
      <c r="D232" s="484"/>
      <c r="E232" s="484"/>
      <c r="F232" s="484"/>
      <c r="G232" s="484"/>
      <c r="H232" s="484"/>
      <c r="I232" s="484"/>
      <c r="J232" s="484"/>
      <c r="K232" s="484"/>
      <c r="L232" s="484"/>
      <c r="M232" s="484"/>
      <c r="N232" s="484"/>
      <c r="O232" s="484"/>
      <c r="P232" s="484"/>
      <c r="Q232" s="484"/>
      <c r="R232" s="484"/>
      <c r="S232" s="484"/>
      <c r="T232" s="484"/>
      <c r="U232" s="484"/>
      <c r="V232" s="484"/>
      <c r="W232" s="484"/>
      <c r="X232" s="484"/>
      <c r="Y232" s="484"/>
      <c r="Z232" s="484"/>
      <c r="AA232" s="484"/>
      <c r="AB232" s="484"/>
      <c r="AC232" s="484"/>
      <c r="AD232" s="484"/>
      <c r="AE232" s="484"/>
      <c r="AF232" s="484"/>
      <c r="AG232" s="484"/>
      <c r="AH232" s="484"/>
      <c r="AI232" s="484"/>
      <c r="AJ232" s="484"/>
      <c r="AK232" s="484"/>
      <c r="AL232" s="484"/>
      <c r="AM232" s="484"/>
      <c r="AN232" s="484"/>
      <c r="AO232" s="484"/>
    </row>
    <row r="233" spans="1:41" x14ac:dyDescent="0.35">
      <c r="A233" s="484"/>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row>
    <row r="234" spans="1:41" x14ac:dyDescent="0.35">
      <c r="A234" s="484"/>
      <c r="B234" s="484"/>
      <c r="C234" s="484"/>
      <c r="D234" s="484"/>
      <c r="E234" s="484"/>
      <c r="F234" s="484"/>
      <c r="G234" s="484"/>
      <c r="H234" s="484"/>
      <c r="I234" s="484"/>
      <c r="J234" s="484"/>
      <c r="K234" s="484"/>
      <c r="L234" s="484"/>
      <c r="M234" s="484"/>
      <c r="N234" s="484"/>
      <c r="O234" s="484"/>
      <c r="P234" s="484"/>
      <c r="Q234" s="484"/>
      <c r="R234" s="484"/>
      <c r="S234" s="484"/>
      <c r="T234" s="484"/>
      <c r="U234" s="484"/>
      <c r="V234" s="484"/>
      <c r="W234" s="484"/>
      <c r="X234" s="484"/>
      <c r="Y234" s="484"/>
      <c r="Z234" s="484"/>
      <c r="AA234" s="484"/>
      <c r="AB234" s="484"/>
      <c r="AC234" s="484"/>
      <c r="AD234" s="484"/>
      <c r="AE234" s="484"/>
      <c r="AF234" s="484"/>
      <c r="AG234" s="484"/>
      <c r="AH234" s="484"/>
      <c r="AI234" s="484"/>
      <c r="AJ234" s="484"/>
      <c r="AK234" s="484"/>
      <c r="AL234" s="484"/>
      <c r="AM234" s="484"/>
      <c r="AN234" s="484"/>
      <c r="AO234" s="484"/>
    </row>
    <row r="235" spans="1:41" x14ac:dyDescent="0.35">
      <c r="A235" s="484"/>
      <c r="B235" s="484"/>
      <c r="C235" s="484"/>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4"/>
      <c r="AD235" s="484"/>
      <c r="AE235" s="484"/>
      <c r="AF235" s="484"/>
      <c r="AG235" s="484"/>
      <c r="AH235" s="484"/>
      <c r="AI235" s="484"/>
      <c r="AJ235" s="484"/>
      <c r="AK235" s="484"/>
      <c r="AL235" s="484"/>
      <c r="AM235" s="484"/>
      <c r="AN235" s="484"/>
      <c r="AO235" s="484"/>
    </row>
    <row r="236" spans="1:41" x14ac:dyDescent="0.35">
      <c r="A236" s="484"/>
      <c r="B236" s="484"/>
      <c r="C236" s="484"/>
      <c r="D236" s="484"/>
      <c r="E236" s="484"/>
      <c r="F236" s="484"/>
      <c r="G236" s="484"/>
      <c r="H236" s="484"/>
      <c r="I236" s="484"/>
      <c r="J236" s="484"/>
      <c r="K236" s="484"/>
      <c r="L236" s="484"/>
      <c r="M236" s="484"/>
      <c r="N236" s="484"/>
      <c r="O236" s="484"/>
      <c r="P236" s="484"/>
      <c r="Q236" s="484"/>
      <c r="R236" s="484"/>
      <c r="S236" s="484"/>
      <c r="T236" s="484"/>
      <c r="U236" s="484"/>
      <c r="V236" s="484"/>
      <c r="W236" s="484"/>
      <c r="X236" s="484"/>
      <c r="Y236" s="484"/>
      <c r="Z236" s="484"/>
      <c r="AA236" s="484"/>
      <c r="AB236" s="484"/>
      <c r="AC236" s="484"/>
      <c r="AD236" s="484"/>
      <c r="AE236" s="484"/>
      <c r="AF236" s="484"/>
      <c r="AG236" s="484"/>
      <c r="AH236" s="484"/>
      <c r="AI236" s="484"/>
      <c r="AJ236" s="484"/>
      <c r="AK236" s="484"/>
      <c r="AL236" s="484"/>
      <c r="AM236" s="484"/>
      <c r="AN236" s="484"/>
      <c r="AO236" s="484"/>
    </row>
    <row r="237" spans="1:41" x14ac:dyDescent="0.35">
      <c r="A237" s="484"/>
      <c r="B237" s="484"/>
      <c r="C237" s="484"/>
      <c r="D237" s="484"/>
      <c r="E237" s="484"/>
      <c r="F237" s="484"/>
      <c r="G237" s="484"/>
      <c r="H237" s="484"/>
      <c r="I237" s="484"/>
      <c r="J237" s="484"/>
      <c r="K237" s="484"/>
      <c r="L237" s="484"/>
      <c r="M237" s="484"/>
      <c r="N237" s="484"/>
      <c r="O237" s="484"/>
      <c r="P237" s="484"/>
      <c r="Q237" s="484"/>
      <c r="R237" s="484"/>
      <c r="S237" s="484"/>
      <c r="T237" s="484"/>
      <c r="U237" s="484"/>
      <c r="V237" s="484"/>
      <c r="W237" s="484"/>
      <c r="X237" s="484"/>
      <c r="Y237" s="484"/>
      <c r="Z237" s="484"/>
      <c r="AA237" s="484"/>
      <c r="AB237" s="484"/>
      <c r="AC237" s="484"/>
      <c r="AD237" s="484"/>
      <c r="AE237" s="484"/>
      <c r="AF237" s="484"/>
      <c r="AG237" s="484"/>
      <c r="AH237" s="484"/>
      <c r="AI237" s="484"/>
      <c r="AJ237" s="484"/>
      <c r="AK237" s="484"/>
      <c r="AL237" s="484"/>
      <c r="AM237" s="484"/>
      <c r="AN237" s="484"/>
      <c r="AO237" s="484"/>
    </row>
    <row r="238" spans="1:41" x14ac:dyDescent="0.35">
      <c r="A238" s="484"/>
      <c r="B238" s="484"/>
      <c r="C238" s="484"/>
      <c r="D238" s="484"/>
      <c r="E238" s="484"/>
      <c r="F238" s="484"/>
      <c r="G238" s="484"/>
      <c r="H238" s="484"/>
      <c r="I238" s="484"/>
      <c r="J238" s="484"/>
      <c r="K238" s="484"/>
      <c r="L238" s="484"/>
      <c r="M238" s="484"/>
      <c r="N238" s="484"/>
      <c r="O238" s="484"/>
      <c r="P238" s="484"/>
      <c r="Q238" s="484"/>
      <c r="R238" s="484"/>
      <c r="S238" s="484"/>
      <c r="T238" s="484"/>
      <c r="U238" s="484"/>
      <c r="V238" s="484"/>
      <c r="W238" s="484"/>
      <c r="X238" s="484"/>
      <c r="Y238" s="484"/>
      <c r="Z238" s="484"/>
      <c r="AA238" s="484"/>
      <c r="AB238" s="484"/>
      <c r="AC238" s="484"/>
      <c r="AD238" s="484"/>
      <c r="AE238" s="484"/>
      <c r="AF238" s="484"/>
      <c r="AG238" s="484"/>
      <c r="AH238" s="484"/>
      <c r="AI238" s="484"/>
      <c r="AJ238" s="484"/>
      <c r="AK238" s="484"/>
      <c r="AL238" s="484"/>
      <c r="AM238" s="484"/>
      <c r="AN238" s="484"/>
      <c r="AO238" s="484"/>
    </row>
    <row r="239" spans="1:41" x14ac:dyDescent="0.35">
      <c r="A239" s="484"/>
      <c r="B239" s="484"/>
      <c r="C239" s="484"/>
      <c r="D239" s="484"/>
      <c r="E239" s="484"/>
      <c r="F239" s="484"/>
      <c r="G239" s="484"/>
      <c r="H239" s="484"/>
      <c r="I239" s="484"/>
      <c r="J239" s="484"/>
      <c r="K239" s="484"/>
      <c r="L239" s="484"/>
      <c r="M239" s="484"/>
      <c r="N239" s="484"/>
      <c r="O239" s="484"/>
      <c r="P239" s="484"/>
      <c r="Q239" s="484"/>
      <c r="R239" s="484"/>
      <c r="S239" s="484"/>
      <c r="T239" s="484"/>
      <c r="U239" s="484"/>
      <c r="V239" s="484"/>
      <c r="W239" s="484"/>
      <c r="X239" s="484"/>
      <c r="Y239" s="484"/>
      <c r="Z239" s="484"/>
      <c r="AA239" s="484"/>
      <c r="AB239" s="484"/>
      <c r="AC239" s="484"/>
      <c r="AD239" s="484"/>
      <c r="AE239" s="484"/>
      <c r="AF239" s="484"/>
      <c r="AG239" s="484"/>
      <c r="AH239" s="484"/>
      <c r="AI239" s="484"/>
      <c r="AJ239" s="484"/>
      <c r="AK239" s="484"/>
      <c r="AL239" s="484"/>
      <c r="AM239" s="484"/>
      <c r="AN239" s="484"/>
      <c r="AO239" s="484"/>
    </row>
    <row r="240" spans="1:41" x14ac:dyDescent="0.35">
      <c r="A240" s="484"/>
      <c r="B240" s="484"/>
      <c r="C240" s="484"/>
      <c r="D240" s="484"/>
      <c r="E240" s="484"/>
      <c r="F240" s="484"/>
      <c r="G240" s="484"/>
      <c r="H240" s="484"/>
      <c r="I240" s="484"/>
      <c r="J240" s="484"/>
      <c r="K240" s="484"/>
      <c r="L240" s="484"/>
      <c r="M240" s="484"/>
      <c r="N240" s="484"/>
      <c r="O240" s="484"/>
      <c r="P240" s="484"/>
      <c r="Q240" s="484"/>
      <c r="R240" s="484"/>
      <c r="S240" s="484"/>
      <c r="T240" s="484"/>
      <c r="U240" s="484"/>
      <c r="V240" s="484"/>
      <c r="W240" s="484"/>
      <c r="X240" s="484"/>
      <c r="Y240" s="484"/>
      <c r="Z240" s="484"/>
      <c r="AA240" s="484"/>
      <c r="AB240" s="484"/>
      <c r="AC240" s="484"/>
      <c r="AD240" s="484"/>
      <c r="AE240" s="484"/>
      <c r="AF240" s="484"/>
      <c r="AG240" s="484"/>
      <c r="AH240" s="484"/>
      <c r="AI240" s="484"/>
      <c r="AJ240" s="484"/>
      <c r="AK240" s="484"/>
      <c r="AL240" s="484"/>
      <c r="AM240" s="484"/>
      <c r="AN240" s="484"/>
      <c r="AO240" s="484"/>
    </row>
    <row r="241" spans="1:41" x14ac:dyDescent="0.35">
      <c r="A241" s="484"/>
      <c r="B241" s="484"/>
      <c r="C241" s="484"/>
      <c r="D241" s="484"/>
      <c r="E241" s="484"/>
      <c r="F241" s="484"/>
      <c r="G241" s="484"/>
      <c r="H241" s="484"/>
      <c r="I241" s="484"/>
      <c r="J241" s="484"/>
      <c r="K241" s="484"/>
      <c r="L241" s="484"/>
      <c r="M241" s="484"/>
      <c r="N241" s="484"/>
      <c r="O241" s="484"/>
      <c r="P241" s="484"/>
      <c r="Q241" s="484"/>
      <c r="R241" s="484"/>
      <c r="S241" s="484"/>
      <c r="T241" s="484"/>
      <c r="U241" s="484"/>
      <c r="V241" s="484"/>
      <c r="W241" s="484"/>
      <c r="X241" s="484"/>
      <c r="Y241" s="484"/>
      <c r="Z241" s="484"/>
      <c r="AA241" s="484"/>
      <c r="AB241" s="484"/>
      <c r="AC241" s="484"/>
      <c r="AD241" s="484"/>
      <c r="AE241" s="484"/>
      <c r="AF241" s="484"/>
      <c r="AG241" s="484"/>
      <c r="AH241" s="484"/>
      <c r="AI241" s="484"/>
      <c r="AJ241" s="484"/>
      <c r="AK241" s="484"/>
      <c r="AL241" s="484"/>
      <c r="AM241" s="484"/>
      <c r="AN241" s="484"/>
      <c r="AO241" s="484"/>
    </row>
    <row r="242" spans="1:41" x14ac:dyDescent="0.35">
      <c r="A242" s="484"/>
      <c r="B242" s="484"/>
      <c r="C242" s="484"/>
      <c r="D242" s="484"/>
      <c r="E242" s="484"/>
      <c r="F242" s="484"/>
      <c r="G242" s="484"/>
      <c r="H242" s="484"/>
      <c r="I242" s="484"/>
      <c r="J242" s="484"/>
      <c r="K242" s="484"/>
      <c r="L242" s="484"/>
      <c r="M242" s="484"/>
      <c r="N242" s="484"/>
      <c r="O242" s="484"/>
      <c r="P242" s="484"/>
      <c r="Q242" s="484"/>
      <c r="R242" s="484"/>
      <c r="S242" s="484"/>
      <c r="T242" s="484"/>
      <c r="U242" s="484"/>
      <c r="V242" s="484"/>
      <c r="W242" s="484"/>
      <c r="X242" s="484"/>
      <c r="Y242" s="484"/>
      <c r="Z242" s="484"/>
      <c r="AA242" s="484"/>
      <c r="AB242" s="484"/>
      <c r="AC242" s="484"/>
      <c r="AD242" s="484"/>
      <c r="AE242" s="484"/>
      <c r="AF242" s="484"/>
      <c r="AG242" s="484"/>
      <c r="AH242" s="484"/>
      <c r="AI242" s="484"/>
      <c r="AJ242" s="484"/>
      <c r="AK242" s="484"/>
      <c r="AL242" s="484"/>
      <c r="AM242" s="484"/>
      <c r="AN242" s="484"/>
      <c r="AO242" s="484"/>
    </row>
    <row r="243" spans="1:41" x14ac:dyDescent="0.35">
      <c r="A243" s="484"/>
      <c r="B243" s="484"/>
      <c r="C243" s="484"/>
      <c r="D243" s="484"/>
      <c r="E243" s="484"/>
      <c r="F243" s="484"/>
      <c r="G243" s="484"/>
      <c r="H243" s="484"/>
      <c r="I243" s="484"/>
      <c r="J243" s="484"/>
      <c r="K243" s="484"/>
      <c r="L243" s="484"/>
      <c r="M243" s="484"/>
      <c r="N243" s="484"/>
      <c r="O243" s="484"/>
      <c r="P243" s="484"/>
      <c r="Q243" s="484"/>
      <c r="R243" s="484"/>
      <c r="S243" s="484"/>
      <c r="T243" s="484"/>
      <c r="U243" s="484"/>
      <c r="V243" s="484"/>
      <c r="W243" s="484"/>
      <c r="X243" s="484"/>
      <c r="Y243" s="484"/>
      <c r="Z243" s="484"/>
      <c r="AA243" s="484"/>
      <c r="AB243" s="484"/>
      <c r="AC243" s="484"/>
      <c r="AD243" s="484"/>
      <c r="AE243" s="484"/>
      <c r="AF243" s="484"/>
      <c r="AG243" s="484"/>
      <c r="AH243" s="484"/>
      <c r="AI243" s="484"/>
      <c r="AJ243" s="484"/>
      <c r="AK243" s="484"/>
      <c r="AL243" s="484"/>
      <c r="AM243" s="484"/>
      <c r="AN243" s="484"/>
      <c r="AO243" s="484"/>
    </row>
    <row r="244" spans="1:41" x14ac:dyDescent="0.35">
      <c r="A244" s="484"/>
      <c r="B244" s="484"/>
      <c r="C244" s="484"/>
      <c r="D244" s="484"/>
      <c r="E244" s="484"/>
      <c r="F244" s="484"/>
      <c r="G244" s="484"/>
      <c r="H244" s="484"/>
      <c r="I244" s="484"/>
      <c r="J244" s="484"/>
      <c r="K244" s="484"/>
      <c r="L244" s="484"/>
      <c r="M244" s="484"/>
      <c r="N244" s="484"/>
      <c r="O244" s="484"/>
      <c r="P244" s="484"/>
      <c r="Q244" s="484"/>
      <c r="R244" s="484"/>
      <c r="S244" s="484"/>
      <c r="T244" s="484"/>
      <c r="U244" s="484"/>
      <c r="V244" s="484"/>
      <c r="W244" s="484"/>
      <c r="X244" s="484"/>
      <c r="Y244" s="484"/>
      <c r="Z244" s="484"/>
      <c r="AA244" s="484"/>
      <c r="AB244" s="484"/>
      <c r="AC244" s="484"/>
      <c r="AD244" s="484"/>
      <c r="AE244" s="484"/>
      <c r="AF244" s="484"/>
      <c r="AG244" s="484"/>
      <c r="AH244" s="484"/>
      <c r="AI244" s="484"/>
      <c r="AJ244" s="484"/>
      <c r="AK244" s="484"/>
      <c r="AL244" s="484"/>
      <c r="AM244" s="484"/>
      <c r="AN244" s="484"/>
      <c r="AO244" s="484"/>
    </row>
    <row r="245" spans="1:41" x14ac:dyDescent="0.35">
      <c r="A245" s="484"/>
      <c r="B245" s="484"/>
      <c r="C245" s="484"/>
      <c r="D245" s="484"/>
      <c r="E245" s="484"/>
      <c r="F245" s="484"/>
      <c r="G245" s="484"/>
      <c r="H245" s="484"/>
      <c r="I245" s="484"/>
      <c r="J245" s="484"/>
      <c r="K245" s="484"/>
      <c r="L245" s="484"/>
      <c r="M245" s="484"/>
      <c r="N245" s="484"/>
      <c r="O245" s="484"/>
      <c r="P245" s="484"/>
      <c r="Q245" s="484"/>
      <c r="R245" s="484"/>
      <c r="S245" s="484"/>
      <c r="T245" s="484"/>
      <c r="U245" s="484"/>
      <c r="V245" s="484"/>
      <c r="W245" s="484"/>
      <c r="X245" s="484"/>
      <c r="Y245" s="484"/>
      <c r="Z245" s="484"/>
      <c r="AA245" s="484"/>
      <c r="AB245" s="484"/>
      <c r="AC245" s="484"/>
      <c r="AD245" s="484"/>
      <c r="AE245" s="484"/>
      <c r="AF245" s="484"/>
      <c r="AG245" s="484"/>
      <c r="AH245" s="484"/>
      <c r="AI245" s="484"/>
      <c r="AJ245" s="484"/>
      <c r="AK245" s="484"/>
      <c r="AL245" s="484"/>
      <c r="AM245" s="484"/>
      <c r="AN245" s="484"/>
      <c r="AO245" s="484"/>
    </row>
    <row r="246" spans="1:41" x14ac:dyDescent="0.35">
      <c r="A246" s="484"/>
      <c r="B246" s="484"/>
      <c r="C246" s="484"/>
      <c r="D246" s="484"/>
      <c r="E246" s="484"/>
      <c r="F246" s="484"/>
      <c r="G246" s="484"/>
      <c r="H246" s="484"/>
      <c r="I246" s="484"/>
      <c r="J246" s="484"/>
      <c r="K246" s="484"/>
      <c r="L246" s="484"/>
      <c r="M246" s="484"/>
      <c r="N246" s="484"/>
      <c r="O246" s="484"/>
      <c r="P246" s="484"/>
      <c r="Q246" s="484"/>
      <c r="R246" s="484"/>
      <c r="S246" s="484"/>
      <c r="T246" s="484"/>
      <c r="U246" s="484"/>
      <c r="V246" s="484"/>
      <c r="W246" s="484"/>
      <c r="X246" s="484"/>
      <c r="Y246" s="484"/>
      <c r="Z246" s="484"/>
      <c r="AA246" s="484"/>
      <c r="AB246" s="484"/>
      <c r="AC246" s="484"/>
      <c r="AD246" s="484"/>
      <c r="AE246" s="484"/>
      <c r="AF246" s="484"/>
      <c r="AG246" s="484"/>
      <c r="AH246" s="484"/>
      <c r="AI246" s="484"/>
      <c r="AJ246" s="484"/>
      <c r="AK246" s="484"/>
      <c r="AL246" s="484"/>
      <c r="AM246" s="484"/>
      <c r="AN246" s="484"/>
      <c r="AO246" s="484"/>
    </row>
    <row r="247" spans="1:41" x14ac:dyDescent="0.35">
      <c r="A247" s="484"/>
      <c r="B247" s="484"/>
      <c r="C247" s="484"/>
      <c r="D247" s="484"/>
      <c r="E247" s="484"/>
      <c r="F247" s="484"/>
      <c r="G247" s="484"/>
      <c r="H247" s="484"/>
      <c r="I247" s="484"/>
      <c r="J247" s="484"/>
      <c r="K247" s="484"/>
      <c r="L247" s="484"/>
      <c r="M247" s="484"/>
      <c r="N247" s="484"/>
      <c r="O247" s="484"/>
      <c r="P247" s="484"/>
      <c r="Q247" s="484"/>
      <c r="R247" s="484"/>
      <c r="S247" s="484"/>
      <c r="T247" s="484"/>
      <c r="U247" s="484"/>
      <c r="V247" s="484"/>
      <c r="W247" s="484"/>
      <c r="X247" s="484"/>
      <c r="Y247" s="484"/>
      <c r="Z247" s="484"/>
      <c r="AA247" s="484"/>
      <c r="AB247" s="484"/>
      <c r="AC247" s="484"/>
      <c r="AD247" s="484"/>
      <c r="AE247" s="484"/>
      <c r="AF247" s="484"/>
      <c r="AG247" s="484"/>
      <c r="AH247" s="484"/>
      <c r="AI247" s="484"/>
      <c r="AJ247" s="484"/>
      <c r="AK247" s="484"/>
      <c r="AL247" s="484"/>
      <c r="AM247" s="484"/>
      <c r="AN247" s="484"/>
      <c r="AO247" s="484"/>
    </row>
    <row r="248" spans="1:41" x14ac:dyDescent="0.35">
      <c r="A248" s="484"/>
      <c r="B248" s="484"/>
      <c r="C248" s="484"/>
      <c r="D248" s="484"/>
      <c r="E248" s="484"/>
      <c r="F248" s="484"/>
      <c r="G248" s="484"/>
      <c r="H248" s="484"/>
      <c r="I248" s="484"/>
      <c r="J248" s="484"/>
      <c r="K248" s="484"/>
      <c r="L248" s="484"/>
      <c r="M248" s="484"/>
      <c r="N248" s="484"/>
      <c r="O248" s="484"/>
      <c r="P248" s="484"/>
      <c r="Q248" s="484"/>
      <c r="R248" s="484"/>
      <c r="S248" s="484"/>
      <c r="T248" s="484"/>
      <c r="U248" s="484"/>
      <c r="V248" s="484"/>
      <c r="W248" s="484"/>
      <c r="X248" s="484"/>
      <c r="Y248" s="484"/>
      <c r="Z248" s="484"/>
      <c r="AA248" s="484"/>
      <c r="AB248" s="484"/>
      <c r="AC248" s="484"/>
      <c r="AD248" s="484"/>
      <c r="AE248" s="484"/>
      <c r="AF248" s="484"/>
      <c r="AG248" s="484"/>
      <c r="AH248" s="484"/>
      <c r="AI248" s="484"/>
      <c r="AJ248" s="484"/>
      <c r="AK248" s="484"/>
      <c r="AL248" s="484"/>
      <c r="AM248" s="484"/>
      <c r="AN248" s="484"/>
      <c r="AO248" s="484"/>
    </row>
    <row r="249" spans="1:41" x14ac:dyDescent="0.35">
      <c r="A249" s="484"/>
      <c r="B249" s="484"/>
      <c r="C249" s="484"/>
      <c r="D249" s="484"/>
      <c r="E249" s="484"/>
      <c r="F249" s="484"/>
      <c r="G249" s="484"/>
      <c r="H249" s="484"/>
      <c r="I249" s="484"/>
      <c r="J249" s="484"/>
      <c r="K249" s="484"/>
      <c r="L249" s="484"/>
      <c r="M249" s="484"/>
      <c r="N249" s="484"/>
      <c r="O249" s="484"/>
      <c r="P249" s="484"/>
      <c r="Q249" s="484"/>
      <c r="R249" s="484"/>
      <c r="S249" s="484"/>
      <c r="T249" s="484"/>
      <c r="U249" s="484"/>
      <c r="V249" s="484"/>
      <c r="W249" s="484"/>
      <c r="X249" s="484"/>
      <c r="Y249" s="484"/>
      <c r="Z249" s="484"/>
      <c r="AA249" s="484"/>
      <c r="AB249" s="484"/>
      <c r="AC249" s="484"/>
      <c r="AD249" s="484"/>
      <c r="AE249" s="484"/>
      <c r="AF249" s="484"/>
      <c r="AG249" s="484"/>
      <c r="AH249" s="484"/>
      <c r="AI249" s="484"/>
      <c r="AJ249" s="484"/>
      <c r="AK249" s="484"/>
      <c r="AL249" s="484"/>
      <c r="AM249" s="484"/>
      <c r="AN249" s="484"/>
      <c r="AO249" s="484"/>
    </row>
    <row r="250" spans="1:41" x14ac:dyDescent="0.35">
      <c r="A250" s="484"/>
      <c r="B250" s="484"/>
      <c r="C250" s="484"/>
      <c r="D250" s="484"/>
      <c r="E250" s="484"/>
      <c r="F250" s="484"/>
      <c r="G250" s="484"/>
      <c r="H250" s="484"/>
      <c r="I250" s="484"/>
      <c r="J250" s="484"/>
      <c r="K250" s="484"/>
      <c r="L250" s="484"/>
      <c r="M250" s="484"/>
      <c r="N250" s="484"/>
      <c r="O250" s="484"/>
      <c r="P250" s="484"/>
      <c r="Q250" s="484"/>
      <c r="R250" s="484"/>
      <c r="S250" s="484"/>
      <c r="T250" s="484"/>
      <c r="U250" s="484"/>
      <c r="V250" s="484"/>
      <c r="W250" s="484"/>
      <c r="X250" s="484"/>
      <c r="Y250" s="484"/>
      <c r="Z250" s="484"/>
      <c r="AA250" s="484"/>
      <c r="AB250" s="484"/>
      <c r="AC250" s="484"/>
      <c r="AD250" s="484"/>
      <c r="AE250" s="484"/>
      <c r="AF250" s="484"/>
      <c r="AG250" s="484"/>
      <c r="AH250" s="484"/>
      <c r="AI250" s="484"/>
      <c r="AJ250" s="484"/>
      <c r="AK250" s="484"/>
      <c r="AL250" s="484"/>
      <c r="AM250" s="484"/>
      <c r="AN250" s="484"/>
      <c r="AO250" s="484"/>
    </row>
    <row r="251" spans="1:41" x14ac:dyDescent="0.35">
      <c r="A251" s="484"/>
      <c r="B251" s="484"/>
      <c r="C251" s="484"/>
      <c r="D251" s="484"/>
      <c r="E251" s="484"/>
      <c r="F251" s="484"/>
      <c r="G251" s="484"/>
      <c r="H251" s="484"/>
      <c r="I251" s="484"/>
      <c r="J251" s="484"/>
      <c r="K251" s="484"/>
      <c r="L251" s="484"/>
      <c r="M251" s="484"/>
      <c r="N251" s="484"/>
      <c r="O251" s="484"/>
      <c r="P251" s="484"/>
      <c r="Q251" s="484"/>
      <c r="R251" s="484"/>
      <c r="S251" s="484"/>
      <c r="T251" s="484"/>
      <c r="U251" s="484"/>
      <c r="V251" s="484"/>
      <c r="W251" s="484"/>
      <c r="X251" s="484"/>
      <c r="Y251" s="484"/>
      <c r="Z251" s="484"/>
      <c r="AA251" s="484"/>
      <c r="AB251" s="484"/>
      <c r="AC251" s="484"/>
      <c r="AD251" s="484"/>
      <c r="AE251" s="484"/>
      <c r="AF251" s="484"/>
      <c r="AG251" s="484"/>
      <c r="AH251" s="484"/>
      <c r="AI251" s="484"/>
      <c r="AJ251" s="484"/>
      <c r="AK251" s="484"/>
      <c r="AL251" s="484"/>
      <c r="AM251" s="484"/>
      <c r="AN251" s="484"/>
      <c r="AO251" s="484"/>
    </row>
    <row r="252" spans="1:41" x14ac:dyDescent="0.35">
      <c r="A252" s="484"/>
      <c r="B252" s="484"/>
      <c r="C252" s="484"/>
      <c r="D252" s="484"/>
      <c r="E252" s="484"/>
      <c r="F252" s="484"/>
      <c r="G252" s="484"/>
      <c r="H252" s="484"/>
      <c r="I252" s="484"/>
      <c r="J252" s="484"/>
      <c r="K252" s="484"/>
      <c r="L252" s="484"/>
      <c r="M252" s="484"/>
      <c r="N252" s="484"/>
      <c r="O252" s="484"/>
      <c r="P252" s="484"/>
      <c r="Q252" s="484"/>
      <c r="R252" s="484"/>
      <c r="S252" s="484"/>
      <c r="T252" s="484"/>
      <c r="U252" s="484"/>
      <c r="V252" s="484"/>
      <c r="W252" s="484"/>
      <c r="X252" s="484"/>
      <c r="Y252" s="484"/>
      <c r="Z252" s="484"/>
      <c r="AA252" s="484"/>
      <c r="AB252" s="484"/>
      <c r="AC252" s="484"/>
      <c r="AD252" s="484"/>
      <c r="AE252" s="484"/>
      <c r="AF252" s="484"/>
      <c r="AG252" s="484"/>
      <c r="AH252" s="484"/>
      <c r="AI252" s="484"/>
      <c r="AJ252" s="484"/>
      <c r="AK252" s="484"/>
      <c r="AL252" s="484"/>
      <c r="AM252" s="484"/>
      <c r="AN252" s="484"/>
      <c r="AO252" s="484"/>
    </row>
    <row r="253" spans="1:41" x14ac:dyDescent="0.35">
      <c r="A253" s="484"/>
      <c r="B253" s="484"/>
      <c r="C253" s="484"/>
      <c r="D253" s="484"/>
      <c r="E253" s="484"/>
      <c r="F253" s="484"/>
      <c r="G253" s="484"/>
      <c r="H253" s="484"/>
      <c r="I253" s="484"/>
      <c r="J253" s="484"/>
      <c r="K253" s="484"/>
      <c r="L253" s="484"/>
      <c r="M253" s="484"/>
      <c r="N253" s="484"/>
      <c r="O253" s="484"/>
      <c r="P253" s="484"/>
      <c r="Q253" s="484"/>
      <c r="R253" s="484"/>
      <c r="S253" s="484"/>
      <c r="T253" s="484"/>
      <c r="U253" s="484"/>
      <c r="V253" s="484"/>
      <c r="W253" s="484"/>
      <c r="X253" s="484"/>
      <c r="Y253" s="484"/>
      <c r="Z253" s="484"/>
      <c r="AA253" s="484"/>
      <c r="AB253" s="484"/>
      <c r="AC253" s="484"/>
      <c r="AD253" s="484"/>
      <c r="AE253" s="484"/>
      <c r="AF253" s="484"/>
      <c r="AG253" s="484"/>
      <c r="AH253" s="484"/>
      <c r="AI253" s="484"/>
      <c r="AJ253" s="484"/>
      <c r="AK253" s="484"/>
      <c r="AL253" s="484"/>
      <c r="AM253" s="484"/>
      <c r="AN253" s="484"/>
      <c r="AO253" s="484"/>
    </row>
    <row r="254" spans="1:41" x14ac:dyDescent="0.35">
      <c r="A254" s="484"/>
      <c r="B254" s="484"/>
      <c r="C254" s="484"/>
      <c r="D254" s="484"/>
      <c r="E254" s="484"/>
      <c r="F254" s="484"/>
      <c r="G254" s="484"/>
      <c r="H254" s="484"/>
      <c r="I254" s="484"/>
      <c r="J254" s="484"/>
      <c r="K254" s="484"/>
      <c r="L254" s="484"/>
      <c r="M254" s="484"/>
      <c r="N254" s="484"/>
      <c r="O254" s="484"/>
      <c r="P254" s="484"/>
      <c r="Q254" s="484"/>
      <c r="R254" s="484"/>
      <c r="S254" s="484"/>
      <c r="T254" s="484"/>
      <c r="U254" s="484"/>
      <c r="V254" s="484"/>
      <c r="W254" s="484"/>
      <c r="X254" s="484"/>
      <c r="Y254" s="484"/>
      <c r="Z254" s="484"/>
      <c r="AA254" s="484"/>
      <c r="AB254" s="484"/>
      <c r="AC254" s="484"/>
      <c r="AD254" s="484"/>
      <c r="AE254" s="484"/>
      <c r="AF254" s="484"/>
      <c r="AG254" s="484"/>
      <c r="AH254" s="484"/>
      <c r="AI254" s="484"/>
      <c r="AJ254" s="484"/>
      <c r="AK254" s="484"/>
      <c r="AL254" s="484"/>
      <c r="AM254" s="484"/>
      <c r="AN254" s="484"/>
      <c r="AO254" s="484"/>
    </row>
    <row r="255" spans="1:41" x14ac:dyDescent="0.35">
      <c r="A255" s="484"/>
      <c r="B255" s="484"/>
      <c r="C255" s="484"/>
      <c r="D255" s="484"/>
      <c r="E255" s="484"/>
      <c r="F255" s="484"/>
      <c r="G255" s="484"/>
      <c r="H255" s="484"/>
      <c r="I255" s="484"/>
      <c r="J255" s="484"/>
      <c r="K255" s="484"/>
      <c r="L255" s="484"/>
      <c r="M255" s="484"/>
      <c r="N255" s="484"/>
      <c r="O255" s="484"/>
      <c r="P255" s="484"/>
      <c r="Q255" s="484"/>
      <c r="R255" s="484"/>
      <c r="S255" s="484"/>
      <c r="T255" s="484"/>
      <c r="U255" s="484"/>
      <c r="V255" s="484"/>
      <c r="W255" s="484"/>
      <c r="X255" s="484"/>
      <c r="Y255" s="484"/>
      <c r="Z255" s="484"/>
      <c r="AA255" s="484"/>
      <c r="AB255" s="484"/>
      <c r="AC255" s="484"/>
      <c r="AD255" s="484"/>
      <c r="AE255" s="484"/>
      <c r="AF255" s="484"/>
      <c r="AG255" s="484"/>
      <c r="AH255" s="484"/>
      <c r="AI255" s="484"/>
      <c r="AJ255" s="484"/>
      <c r="AK255" s="484"/>
      <c r="AL255" s="484"/>
      <c r="AM255" s="484"/>
      <c r="AN255" s="484"/>
      <c r="AO255" s="484"/>
    </row>
    <row r="256" spans="1:41" x14ac:dyDescent="0.35">
      <c r="A256" s="484"/>
      <c r="B256" s="484"/>
      <c r="C256" s="484"/>
      <c r="D256" s="484"/>
      <c r="E256" s="484"/>
      <c r="F256" s="484"/>
      <c r="G256" s="484"/>
      <c r="H256" s="484"/>
      <c r="I256" s="484"/>
      <c r="J256" s="484"/>
      <c r="K256" s="484"/>
      <c r="L256" s="484"/>
      <c r="M256" s="484"/>
      <c r="N256" s="484"/>
      <c r="O256" s="484"/>
      <c r="P256" s="484"/>
      <c r="Q256" s="484"/>
      <c r="R256" s="484"/>
      <c r="S256" s="484"/>
      <c r="T256" s="484"/>
      <c r="U256" s="484"/>
      <c r="V256" s="484"/>
      <c r="W256" s="484"/>
      <c r="X256" s="484"/>
      <c r="Y256" s="484"/>
      <c r="Z256" s="484"/>
      <c r="AA256" s="484"/>
      <c r="AB256" s="484"/>
      <c r="AC256" s="484"/>
      <c r="AD256" s="484"/>
      <c r="AE256" s="484"/>
      <c r="AF256" s="484"/>
      <c r="AG256" s="484"/>
      <c r="AH256" s="484"/>
      <c r="AI256" s="484"/>
      <c r="AJ256" s="484"/>
      <c r="AK256" s="484"/>
      <c r="AL256" s="484"/>
      <c r="AM256" s="484"/>
      <c r="AN256" s="484"/>
      <c r="AO256" s="484"/>
    </row>
    <row r="257" spans="1:41" x14ac:dyDescent="0.35">
      <c r="A257" s="484"/>
      <c r="B257" s="484"/>
      <c r="C257" s="484"/>
      <c r="D257" s="484"/>
      <c r="E257" s="484"/>
      <c r="F257" s="484"/>
      <c r="G257" s="484"/>
      <c r="H257" s="484"/>
      <c r="I257" s="484"/>
      <c r="J257" s="484"/>
      <c r="K257" s="484"/>
      <c r="L257" s="484"/>
      <c r="M257" s="484"/>
      <c r="N257" s="484"/>
      <c r="O257" s="484"/>
      <c r="P257" s="484"/>
      <c r="Q257" s="484"/>
      <c r="R257" s="484"/>
      <c r="S257" s="484"/>
      <c r="T257" s="484"/>
      <c r="U257" s="484"/>
      <c r="V257" s="484"/>
      <c r="W257" s="484"/>
      <c r="X257" s="484"/>
      <c r="Y257" s="484"/>
      <c r="Z257" s="484"/>
      <c r="AA257" s="484"/>
      <c r="AB257" s="484"/>
      <c r="AC257" s="484"/>
      <c r="AD257" s="484"/>
      <c r="AE257" s="484"/>
      <c r="AF257" s="484"/>
      <c r="AG257" s="484"/>
      <c r="AH257" s="484"/>
      <c r="AI257" s="484"/>
      <c r="AJ257" s="484"/>
      <c r="AK257" s="484"/>
      <c r="AL257" s="484"/>
      <c r="AM257" s="484"/>
      <c r="AN257" s="484"/>
      <c r="AO257" s="484"/>
    </row>
    <row r="258" spans="1:41" x14ac:dyDescent="0.35">
      <c r="A258" s="484"/>
      <c r="B258" s="484"/>
      <c r="C258" s="484"/>
      <c r="D258" s="484"/>
      <c r="E258" s="484"/>
      <c r="F258" s="484"/>
      <c r="G258" s="484"/>
      <c r="H258" s="484"/>
      <c r="I258" s="484"/>
      <c r="J258" s="484"/>
      <c r="K258" s="484"/>
      <c r="L258" s="484"/>
      <c r="M258" s="484"/>
      <c r="N258" s="484"/>
      <c r="O258" s="484"/>
      <c r="P258" s="484"/>
      <c r="Q258" s="484"/>
      <c r="R258" s="484"/>
      <c r="S258" s="484"/>
      <c r="T258" s="484"/>
      <c r="U258" s="484"/>
      <c r="V258" s="484"/>
      <c r="W258" s="484"/>
      <c r="X258" s="484"/>
      <c r="Y258" s="484"/>
      <c r="Z258" s="484"/>
      <c r="AA258" s="484"/>
      <c r="AB258" s="484"/>
      <c r="AC258" s="484"/>
      <c r="AD258" s="484"/>
      <c r="AE258" s="484"/>
      <c r="AF258" s="484"/>
      <c r="AG258" s="484"/>
      <c r="AH258" s="484"/>
      <c r="AI258" s="484"/>
      <c r="AJ258" s="484"/>
      <c r="AK258" s="484"/>
      <c r="AL258" s="484"/>
      <c r="AM258" s="484"/>
      <c r="AN258" s="484"/>
      <c r="AO258" s="484"/>
    </row>
    <row r="259" spans="1:41" x14ac:dyDescent="0.35">
      <c r="A259" s="484"/>
      <c r="B259" s="484"/>
      <c r="C259" s="484"/>
      <c r="D259" s="484"/>
      <c r="E259" s="484"/>
      <c r="F259" s="484"/>
      <c r="G259" s="484"/>
      <c r="H259" s="484"/>
      <c r="I259" s="484"/>
      <c r="J259" s="484"/>
      <c r="K259" s="484"/>
      <c r="L259" s="484"/>
      <c r="M259" s="484"/>
      <c r="N259" s="484"/>
      <c r="O259" s="484"/>
      <c r="P259" s="484"/>
      <c r="Q259" s="484"/>
      <c r="R259" s="484"/>
      <c r="S259" s="484"/>
      <c r="T259" s="484"/>
      <c r="U259" s="484"/>
      <c r="V259" s="484"/>
      <c r="W259" s="484"/>
      <c r="X259" s="484"/>
      <c r="Y259" s="484"/>
      <c r="Z259" s="484"/>
      <c r="AA259" s="484"/>
      <c r="AB259" s="484"/>
      <c r="AC259" s="484"/>
      <c r="AD259" s="484"/>
      <c r="AE259" s="484"/>
      <c r="AF259" s="484"/>
      <c r="AG259" s="484"/>
      <c r="AH259" s="484"/>
      <c r="AI259" s="484"/>
      <c r="AJ259" s="484"/>
      <c r="AK259" s="484"/>
      <c r="AL259" s="484"/>
      <c r="AM259" s="484"/>
      <c r="AN259" s="484"/>
      <c r="AO259" s="484"/>
    </row>
    <row r="260" spans="1:41" x14ac:dyDescent="0.35">
      <c r="A260" s="484"/>
      <c r="B260" s="484"/>
      <c r="C260" s="484"/>
      <c r="D260" s="484"/>
      <c r="E260" s="484"/>
      <c r="F260" s="484"/>
      <c r="G260" s="484"/>
      <c r="H260" s="484"/>
      <c r="I260" s="484"/>
      <c r="J260" s="484"/>
      <c r="K260" s="484"/>
      <c r="L260" s="484"/>
      <c r="M260" s="484"/>
      <c r="N260" s="484"/>
      <c r="O260" s="484"/>
      <c r="P260" s="484"/>
      <c r="Q260" s="484"/>
      <c r="R260" s="484"/>
      <c r="S260" s="484"/>
      <c r="T260" s="484"/>
      <c r="U260" s="484"/>
      <c r="V260" s="484"/>
      <c r="W260" s="484"/>
      <c r="X260" s="484"/>
      <c r="Y260" s="484"/>
      <c r="Z260" s="484"/>
      <c r="AA260" s="484"/>
      <c r="AB260" s="484"/>
      <c r="AC260" s="484"/>
      <c r="AD260" s="484"/>
      <c r="AE260" s="484"/>
      <c r="AF260" s="484"/>
      <c r="AG260" s="484"/>
      <c r="AH260" s="484"/>
      <c r="AI260" s="484"/>
      <c r="AJ260" s="484"/>
      <c r="AK260" s="484"/>
      <c r="AL260" s="484"/>
      <c r="AM260" s="484"/>
      <c r="AN260" s="484"/>
      <c r="AO260" s="484"/>
    </row>
    <row r="261" spans="1:41" x14ac:dyDescent="0.35">
      <c r="A261" s="484"/>
      <c r="B261" s="484"/>
      <c r="C261" s="484"/>
      <c r="D261" s="484"/>
      <c r="E261" s="484"/>
      <c r="F261" s="484"/>
      <c r="G261" s="484"/>
      <c r="H261" s="484"/>
      <c r="I261" s="484"/>
      <c r="J261" s="484"/>
      <c r="K261" s="484"/>
      <c r="L261" s="484"/>
      <c r="M261" s="484"/>
      <c r="N261" s="484"/>
      <c r="O261" s="484"/>
      <c r="P261" s="484"/>
      <c r="Q261" s="484"/>
      <c r="R261" s="484"/>
      <c r="S261" s="484"/>
      <c r="T261" s="484"/>
      <c r="U261" s="484"/>
      <c r="V261" s="484"/>
      <c r="W261" s="484"/>
      <c r="X261" s="484"/>
      <c r="Y261" s="484"/>
      <c r="Z261" s="484"/>
      <c r="AA261" s="484"/>
      <c r="AB261" s="484"/>
      <c r="AC261" s="484"/>
      <c r="AD261" s="484"/>
      <c r="AE261" s="484"/>
      <c r="AF261" s="484"/>
      <c r="AG261" s="484"/>
      <c r="AH261" s="484"/>
      <c r="AI261" s="484"/>
      <c r="AJ261" s="484"/>
      <c r="AK261" s="484"/>
      <c r="AL261" s="484"/>
      <c r="AM261" s="484"/>
      <c r="AN261" s="484"/>
      <c r="AO261" s="484"/>
    </row>
    <row r="262" spans="1:41" x14ac:dyDescent="0.35">
      <c r="A262" s="484"/>
      <c r="B262" s="484"/>
      <c r="C262" s="484"/>
      <c r="D262" s="484"/>
      <c r="E262" s="484"/>
      <c r="F262" s="484"/>
      <c r="G262" s="484"/>
      <c r="H262" s="484"/>
      <c r="I262" s="484"/>
      <c r="J262" s="484"/>
      <c r="K262" s="484"/>
      <c r="L262" s="484"/>
      <c r="M262" s="484"/>
      <c r="N262" s="484"/>
      <c r="O262" s="484"/>
      <c r="P262" s="484"/>
      <c r="Q262" s="484"/>
      <c r="R262" s="484"/>
      <c r="S262" s="484"/>
      <c r="T262" s="484"/>
      <c r="U262" s="484"/>
      <c r="V262" s="484"/>
      <c r="W262" s="484"/>
      <c r="X262" s="484"/>
      <c r="Y262" s="484"/>
      <c r="Z262" s="484"/>
      <c r="AA262" s="484"/>
      <c r="AB262" s="484"/>
      <c r="AC262" s="484"/>
      <c r="AD262" s="484"/>
      <c r="AE262" s="484"/>
      <c r="AF262" s="484"/>
      <c r="AG262" s="484"/>
      <c r="AH262" s="484"/>
      <c r="AI262" s="484"/>
      <c r="AJ262" s="484"/>
      <c r="AK262" s="484"/>
      <c r="AL262" s="484"/>
      <c r="AM262" s="484"/>
      <c r="AN262" s="484"/>
      <c r="AO262" s="484"/>
    </row>
    <row r="263" spans="1:41" x14ac:dyDescent="0.35">
      <c r="A263" s="484"/>
      <c r="B263" s="484"/>
      <c r="C263" s="484"/>
      <c r="D263" s="484"/>
      <c r="E263" s="484"/>
      <c r="F263" s="484"/>
      <c r="G263" s="484"/>
      <c r="H263" s="484"/>
      <c r="I263" s="484"/>
      <c r="J263" s="484"/>
      <c r="K263" s="484"/>
      <c r="L263" s="484"/>
      <c r="M263" s="484"/>
      <c r="N263" s="484"/>
      <c r="O263" s="484"/>
      <c r="P263" s="484"/>
      <c r="Q263" s="484"/>
      <c r="R263" s="484"/>
      <c r="S263" s="484"/>
      <c r="T263" s="484"/>
      <c r="U263" s="484"/>
      <c r="V263" s="484"/>
      <c r="W263" s="484"/>
      <c r="X263" s="484"/>
      <c r="Y263" s="484"/>
      <c r="Z263" s="484"/>
      <c r="AA263" s="484"/>
      <c r="AB263" s="484"/>
      <c r="AC263" s="484"/>
      <c r="AD263" s="484"/>
      <c r="AE263" s="484"/>
      <c r="AF263" s="484"/>
      <c r="AG263" s="484"/>
      <c r="AH263" s="484"/>
      <c r="AI263" s="484"/>
      <c r="AJ263" s="484"/>
      <c r="AK263" s="484"/>
      <c r="AL263" s="484"/>
      <c r="AM263" s="484"/>
      <c r="AN263" s="484"/>
      <c r="AO263" s="484"/>
    </row>
    <row r="264" spans="1:41" x14ac:dyDescent="0.35">
      <c r="A264" s="484"/>
      <c r="B264" s="484"/>
      <c r="C264" s="484"/>
      <c r="D264" s="484"/>
      <c r="E264" s="484"/>
      <c r="F264" s="484"/>
      <c r="G264" s="484"/>
      <c r="H264" s="484"/>
      <c r="I264" s="484"/>
      <c r="J264" s="484"/>
      <c r="K264" s="484"/>
      <c r="L264" s="484"/>
      <c r="M264" s="484"/>
      <c r="N264" s="484"/>
      <c r="O264" s="484"/>
      <c r="P264" s="484"/>
      <c r="Q264" s="484"/>
      <c r="R264" s="484"/>
      <c r="S264" s="484"/>
      <c r="T264" s="484"/>
      <c r="U264" s="484"/>
      <c r="V264" s="484"/>
      <c r="W264" s="484"/>
      <c r="X264" s="484"/>
      <c r="Y264" s="484"/>
      <c r="Z264" s="484"/>
      <c r="AA264" s="484"/>
      <c r="AB264" s="484"/>
      <c r="AC264" s="484"/>
      <c r="AD264" s="484"/>
      <c r="AE264" s="484"/>
      <c r="AF264" s="484"/>
      <c r="AG264" s="484"/>
      <c r="AH264" s="484"/>
      <c r="AI264" s="484"/>
      <c r="AJ264" s="484"/>
      <c r="AK264" s="484"/>
      <c r="AL264" s="484"/>
      <c r="AM264" s="484"/>
      <c r="AN264" s="484"/>
      <c r="AO264" s="484"/>
    </row>
    <row r="265" spans="1:41" x14ac:dyDescent="0.35">
      <c r="A265" s="484"/>
      <c r="B265" s="484"/>
      <c r="C265" s="484"/>
      <c r="D265" s="484"/>
      <c r="E265" s="484"/>
      <c r="F265" s="484"/>
      <c r="G265" s="484"/>
      <c r="H265" s="484"/>
      <c r="I265" s="484"/>
      <c r="J265" s="484"/>
      <c r="K265" s="484"/>
      <c r="L265" s="484"/>
      <c r="M265" s="484"/>
      <c r="N265" s="484"/>
      <c r="O265" s="484"/>
      <c r="P265" s="484"/>
      <c r="Q265" s="484"/>
      <c r="R265" s="484"/>
      <c r="S265" s="484"/>
      <c r="T265" s="484"/>
      <c r="U265" s="484"/>
      <c r="V265" s="484"/>
      <c r="W265" s="484"/>
      <c r="X265" s="484"/>
      <c r="Y265" s="484"/>
      <c r="Z265" s="484"/>
      <c r="AA265" s="484"/>
      <c r="AB265" s="484"/>
      <c r="AC265" s="484"/>
      <c r="AD265" s="484"/>
      <c r="AE265" s="484"/>
      <c r="AF265" s="484"/>
      <c r="AG265" s="484"/>
      <c r="AH265" s="484"/>
      <c r="AI265" s="484"/>
      <c r="AJ265" s="484"/>
      <c r="AK265" s="484"/>
      <c r="AL265" s="484"/>
      <c r="AM265" s="484"/>
      <c r="AN265" s="484"/>
      <c r="AO265" s="484"/>
    </row>
    <row r="266" spans="1:41" x14ac:dyDescent="0.35">
      <c r="A266" s="484"/>
      <c r="B266" s="484"/>
      <c r="C266" s="484"/>
      <c r="D266" s="484"/>
      <c r="E266" s="484"/>
      <c r="F266" s="484"/>
      <c r="G266" s="484"/>
      <c r="H266" s="484"/>
      <c r="I266" s="484"/>
      <c r="J266" s="484"/>
      <c r="K266" s="484"/>
      <c r="L266" s="484"/>
      <c r="M266" s="484"/>
      <c r="N266" s="484"/>
      <c r="O266" s="484"/>
      <c r="P266" s="484"/>
      <c r="Q266" s="484"/>
      <c r="R266" s="484"/>
      <c r="S266" s="484"/>
      <c r="T266" s="484"/>
      <c r="U266" s="484"/>
      <c r="V266" s="484"/>
      <c r="W266" s="484"/>
      <c r="X266" s="484"/>
      <c r="Y266" s="484"/>
      <c r="Z266" s="484"/>
      <c r="AA266" s="484"/>
      <c r="AB266" s="484"/>
      <c r="AC266" s="484"/>
      <c r="AD266" s="484"/>
      <c r="AE266" s="484"/>
      <c r="AF266" s="484"/>
      <c r="AG266" s="484"/>
      <c r="AH266" s="484"/>
      <c r="AI266" s="484"/>
      <c r="AJ266" s="484"/>
      <c r="AK266" s="484"/>
      <c r="AL266" s="484"/>
      <c r="AM266" s="484"/>
      <c r="AN266" s="484"/>
      <c r="AO266" s="484"/>
    </row>
    <row r="267" spans="1:41" x14ac:dyDescent="0.35">
      <c r="A267" s="484"/>
      <c r="B267" s="484"/>
      <c r="C267" s="484"/>
      <c r="D267" s="484"/>
      <c r="E267" s="484"/>
      <c r="F267" s="484"/>
      <c r="G267" s="484"/>
      <c r="H267" s="484"/>
      <c r="I267" s="484"/>
      <c r="J267" s="484"/>
      <c r="K267" s="484"/>
      <c r="L267" s="484"/>
      <c r="M267" s="484"/>
      <c r="N267" s="484"/>
      <c r="O267" s="484"/>
      <c r="P267" s="484"/>
      <c r="Q267" s="484"/>
      <c r="R267" s="484"/>
      <c r="S267" s="484"/>
      <c r="T267" s="484"/>
      <c r="U267" s="484"/>
      <c r="V267" s="484"/>
      <c r="W267" s="484"/>
      <c r="X267" s="484"/>
      <c r="Y267" s="484"/>
      <c r="Z267" s="484"/>
      <c r="AA267" s="484"/>
      <c r="AB267" s="484"/>
      <c r="AC267" s="484"/>
      <c r="AD267" s="484"/>
      <c r="AE267" s="484"/>
      <c r="AF267" s="484"/>
      <c r="AG267" s="484"/>
      <c r="AH267" s="484"/>
      <c r="AI267" s="484"/>
      <c r="AJ267" s="484"/>
      <c r="AK267" s="484"/>
      <c r="AL267" s="484"/>
      <c r="AM267" s="484"/>
      <c r="AN267" s="484"/>
      <c r="AO267" s="484"/>
    </row>
    <row r="268" spans="1:41" x14ac:dyDescent="0.35">
      <c r="A268" s="484"/>
      <c r="B268" s="484"/>
      <c r="C268" s="484"/>
      <c r="D268" s="484"/>
      <c r="E268" s="484"/>
      <c r="F268" s="484"/>
      <c r="G268" s="484"/>
      <c r="H268" s="484"/>
      <c r="I268" s="484"/>
      <c r="J268" s="484"/>
      <c r="K268" s="484"/>
      <c r="L268" s="484"/>
      <c r="M268" s="484"/>
      <c r="N268" s="484"/>
      <c r="O268" s="484"/>
      <c r="P268" s="484"/>
      <c r="Q268" s="484"/>
      <c r="R268" s="484"/>
      <c r="S268" s="484"/>
      <c r="T268" s="484"/>
      <c r="U268" s="484"/>
      <c r="V268" s="484"/>
      <c r="W268" s="484"/>
      <c r="X268" s="484"/>
      <c r="Y268" s="484"/>
      <c r="Z268" s="484"/>
      <c r="AA268" s="484"/>
      <c r="AB268" s="484"/>
      <c r="AC268" s="484"/>
      <c r="AD268" s="484"/>
      <c r="AE268" s="484"/>
      <c r="AF268" s="484"/>
      <c r="AG268" s="484"/>
      <c r="AH268" s="484"/>
      <c r="AI268" s="484"/>
      <c r="AJ268" s="484"/>
      <c r="AK268" s="484"/>
      <c r="AL268" s="484"/>
      <c r="AM268" s="484"/>
      <c r="AN268" s="484"/>
      <c r="AO268" s="484"/>
    </row>
    <row r="269" spans="1:41" x14ac:dyDescent="0.35">
      <c r="A269" s="484"/>
      <c r="B269" s="484"/>
      <c r="C269" s="484"/>
      <c r="D269" s="484"/>
      <c r="E269" s="484"/>
      <c r="F269" s="484"/>
      <c r="G269" s="484"/>
      <c r="H269" s="484"/>
      <c r="I269" s="484"/>
      <c r="J269" s="484"/>
      <c r="K269" s="484"/>
      <c r="L269" s="484"/>
      <c r="M269" s="484"/>
      <c r="N269" s="484"/>
      <c r="O269" s="484"/>
      <c r="P269" s="484"/>
      <c r="Q269" s="484"/>
      <c r="R269" s="484"/>
      <c r="S269" s="484"/>
      <c r="T269" s="484"/>
      <c r="U269" s="484"/>
      <c r="V269" s="484"/>
      <c r="W269" s="484"/>
      <c r="X269" s="484"/>
      <c r="Y269" s="484"/>
      <c r="Z269" s="484"/>
      <c r="AA269" s="484"/>
      <c r="AB269" s="484"/>
      <c r="AC269" s="484"/>
      <c r="AD269" s="484"/>
      <c r="AE269" s="484"/>
      <c r="AF269" s="484"/>
      <c r="AG269" s="484"/>
      <c r="AH269" s="484"/>
      <c r="AI269" s="484"/>
      <c r="AJ269" s="484"/>
      <c r="AK269" s="484"/>
      <c r="AL269" s="484"/>
      <c r="AM269" s="484"/>
      <c r="AN269" s="484"/>
      <c r="AO269" s="484"/>
    </row>
    <row r="270" spans="1:41" x14ac:dyDescent="0.35">
      <c r="A270" s="484"/>
      <c r="B270" s="484"/>
      <c r="C270" s="484"/>
      <c r="D270" s="484"/>
      <c r="E270" s="484"/>
      <c r="F270" s="484"/>
      <c r="G270" s="484"/>
      <c r="H270" s="484"/>
      <c r="I270" s="484"/>
      <c r="J270" s="484"/>
      <c r="K270" s="484"/>
      <c r="L270" s="484"/>
      <c r="M270" s="484"/>
      <c r="N270" s="484"/>
      <c r="O270" s="484"/>
      <c r="P270" s="484"/>
      <c r="Q270" s="484"/>
      <c r="R270" s="484"/>
      <c r="S270" s="484"/>
      <c r="T270" s="484"/>
      <c r="U270" s="484"/>
      <c r="V270" s="484"/>
      <c r="W270" s="484"/>
      <c r="X270" s="484"/>
      <c r="Y270" s="484"/>
      <c r="Z270" s="484"/>
      <c r="AA270" s="484"/>
      <c r="AB270" s="484"/>
      <c r="AC270" s="484"/>
      <c r="AD270" s="484"/>
      <c r="AE270" s="484"/>
      <c r="AF270" s="484"/>
      <c r="AG270" s="484"/>
      <c r="AH270" s="484"/>
      <c r="AI270" s="484"/>
      <c r="AJ270" s="484"/>
      <c r="AK270" s="484"/>
      <c r="AL270" s="484"/>
      <c r="AM270" s="484"/>
      <c r="AN270" s="484"/>
      <c r="AO270" s="484"/>
    </row>
    <row r="271" spans="1:41" x14ac:dyDescent="0.35">
      <c r="A271" s="484"/>
      <c r="B271" s="484"/>
      <c r="C271" s="484"/>
      <c r="D271" s="484"/>
      <c r="E271" s="484"/>
      <c r="F271" s="484"/>
      <c r="G271" s="484"/>
      <c r="H271" s="484"/>
      <c r="I271" s="484"/>
      <c r="J271" s="484"/>
      <c r="K271" s="484"/>
      <c r="L271" s="484"/>
      <c r="M271" s="484"/>
      <c r="N271" s="484"/>
      <c r="O271" s="484"/>
      <c r="P271" s="484"/>
      <c r="Q271" s="484"/>
      <c r="R271" s="484"/>
      <c r="S271" s="484"/>
      <c r="T271" s="484"/>
      <c r="U271" s="484"/>
      <c r="V271" s="484"/>
      <c r="W271" s="484"/>
      <c r="X271" s="484"/>
      <c r="Y271" s="484"/>
      <c r="Z271" s="484"/>
      <c r="AA271" s="484"/>
      <c r="AB271" s="484"/>
      <c r="AC271" s="484"/>
      <c r="AD271" s="484"/>
      <c r="AE271" s="484"/>
      <c r="AF271" s="484"/>
      <c r="AG271" s="484"/>
      <c r="AH271" s="484"/>
      <c r="AI271" s="484"/>
      <c r="AJ271" s="484"/>
      <c r="AK271" s="484"/>
      <c r="AL271" s="484"/>
      <c r="AM271" s="484"/>
      <c r="AN271" s="484"/>
      <c r="AO271" s="484"/>
    </row>
    <row r="272" spans="1:41" x14ac:dyDescent="0.35">
      <c r="A272" s="484"/>
      <c r="B272" s="484"/>
      <c r="C272" s="484"/>
      <c r="D272" s="484"/>
      <c r="E272" s="484"/>
      <c r="F272" s="484"/>
      <c r="G272" s="484"/>
      <c r="H272" s="484"/>
      <c r="I272" s="484"/>
      <c r="J272" s="484"/>
      <c r="K272" s="484"/>
      <c r="L272" s="484"/>
      <c r="M272" s="484"/>
      <c r="N272" s="484"/>
      <c r="O272" s="484"/>
      <c r="P272" s="484"/>
      <c r="Q272" s="484"/>
      <c r="R272" s="484"/>
      <c r="S272" s="484"/>
      <c r="T272" s="484"/>
      <c r="U272" s="484"/>
      <c r="V272" s="484"/>
      <c r="W272" s="484"/>
      <c r="X272" s="484"/>
      <c r="Y272" s="484"/>
      <c r="Z272" s="484"/>
      <c r="AA272" s="484"/>
      <c r="AB272" s="484"/>
      <c r="AC272" s="484"/>
      <c r="AD272" s="484"/>
      <c r="AE272" s="484"/>
      <c r="AF272" s="484"/>
      <c r="AG272" s="484"/>
      <c r="AH272" s="484"/>
      <c r="AI272" s="484"/>
      <c r="AJ272" s="484"/>
      <c r="AK272" s="484"/>
      <c r="AL272" s="484"/>
      <c r="AM272" s="484"/>
      <c r="AN272" s="484"/>
      <c r="AO272" s="484"/>
    </row>
    <row r="273" spans="1:41" x14ac:dyDescent="0.35">
      <c r="A273" s="484"/>
      <c r="B273" s="484"/>
      <c r="C273" s="484"/>
      <c r="D273" s="484"/>
      <c r="E273" s="484"/>
      <c r="F273" s="484"/>
      <c r="G273" s="484"/>
      <c r="H273" s="484"/>
      <c r="I273" s="484"/>
      <c r="J273" s="484"/>
      <c r="K273" s="484"/>
      <c r="L273" s="484"/>
      <c r="M273" s="484"/>
      <c r="N273" s="484"/>
      <c r="O273" s="484"/>
      <c r="P273" s="484"/>
      <c r="Q273" s="484"/>
      <c r="R273" s="484"/>
      <c r="S273" s="484"/>
      <c r="T273" s="484"/>
      <c r="U273" s="484"/>
      <c r="V273" s="484"/>
      <c r="W273" s="484"/>
      <c r="X273" s="484"/>
      <c r="Y273" s="484"/>
      <c r="Z273" s="484"/>
      <c r="AA273" s="484"/>
      <c r="AB273" s="484"/>
      <c r="AC273" s="484"/>
      <c r="AD273" s="484"/>
      <c r="AE273" s="484"/>
      <c r="AF273" s="484"/>
      <c r="AG273" s="484"/>
      <c r="AH273" s="484"/>
      <c r="AI273" s="484"/>
      <c r="AJ273" s="484"/>
      <c r="AK273" s="484"/>
      <c r="AL273" s="484"/>
      <c r="AM273" s="484"/>
      <c r="AN273" s="484"/>
      <c r="AO273" s="484"/>
    </row>
    <row r="274" spans="1:41" x14ac:dyDescent="0.35">
      <c r="A274" s="484"/>
      <c r="B274" s="484"/>
      <c r="C274" s="484"/>
      <c r="D274" s="484"/>
      <c r="E274" s="484"/>
      <c r="F274" s="484"/>
      <c r="G274" s="484"/>
      <c r="H274" s="484"/>
      <c r="I274" s="484"/>
      <c r="J274" s="484"/>
      <c r="K274" s="484"/>
      <c r="L274" s="484"/>
      <c r="M274" s="484"/>
      <c r="N274" s="484"/>
      <c r="O274" s="484"/>
      <c r="P274" s="484"/>
      <c r="Q274" s="484"/>
      <c r="R274" s="484"/>
      <c r="S274" s="484"/>
      <c r="T274" s="484"/>
      <c r="U274" s="484"/>
      <c r="V274" s="484"/>
      <c r="W274" s="484"/>
      <c r="X274" s="484"/>
      <c r="Y274" s="484"/>
      <c r="Z274" s="484"/>
      <c r="AA274" s="484"/>
      <c r="AB274" s="484"/>
      <c r="AC274" s="484"/>
      <c r="AD274" s="484"/>
      <c r="AE274" s="484"/>
      <c r="AF274" s="484"/>
      <c r="AG274" s="484"/>
      <c r="AH274" s="484"/>
      <c r="AI274" s="484"/>
      <c r="AJ274" s="484"/>
      <c r="AK274" s="484"/>
      <c r="AL274" s="484"/>
      <c r="AM274" s="484"/>
      <c r="AN274" s="484"/>
      <c r="AO274" s="484"/>
    </row>
    <row r="275" spans="1:41" x14ac:dyDescent="0.35">
      <c r="A275" s="484"/>
      <c r="B275" s="484"/>
      <c r="C275" s="484"/>
      <c r="D275" s="484"/>
      <c r="E275" s="484"/>
      <c r="F275" s="484"/>
      <c r="G275" s="484"/>
      <c r="H275" s="484"/>
      <c r="I275" s="484"/>
      <c r="J275" s="484"/>
      <c r="K275" s="484"/>
      <c r="L275" s="484"/>
      <c r="M275" s="484"/>
      <c r="N275" s="484"/>
      <c r="O275" s="484"/>
      <c r="P275" s="484"/>
      <c r="Q275" s="484"/>
      <c r="R275" s="484"/>
      <c r="S275" s="484"/>
      <c r="T275" s="484"/>
      <c r="U275" s="484"/>
      <c r="V275" s="484"/>
      <c r="W275" s="484"/>
      <c r="X275" s="484"/>
      <c r="Y275" s="484"/>
      <c r="Z275" s="484"/>
      <c r="AA275" s="484"/>
      <c r="AB275" s="484"/>
      <c r="AC275" s="484"/>
      <c r="AD275" s="484"/>
      <c r="AE275" s="484"/>
      <c r="AF275" s="484"/>
      <c r="AG275" s="484"/>
      <c r="AH275" s="484"/>
      <c r="AI275" s="484"/>
      <c r="AJ275" s="484"/>
      <c r="AK275" s="484"/>
      <c r="AL275" s="484"/>
      <c r="AM275" s="484"/>
      <c r="AN275" s="484"/>
      <c r="AO275" s="484"/>
    </row>
    <row r="276" spans="1:41" x14ac:dyDescent="0.35">
      <c r="A276" s="484"/>
      <c r="B276" s="484"/>
      <c r="C276" s="484"/>
      <c r="D276" s="484"/>
      <c r="E276" s="484"/>
      <c r="F276" s="484"/>
      <c r="G276" s="484"/>
      <c r="H276" s="484"/>
      <c r="I276" s="484"/>
      <c r="J276" s="484"/>
      <c r="K276" s="484"/>
      <c r="L276" s="484"/>
      <c r="M276" s="484"/>
      <c r="N276" s="484"/>
      <c r="O276" s="484"/>
      <c r="P276" s="484"/>
      <c r="Q276" s="484"/>
      <c r="R276" s="484"/>
      <c r="S276" s="484"/>
      <c r="T276" s="484"/>
      <c r="U276" s="484"/>
      <c r="V276" s="484"/>
      <c r="W276" s="484"/>
      <c r="X276" s="484"/>
      <c r="Y276" s="484"/>
      <c r="Z276" s="484"/>
      <c r="AA276" s="484"/>
      <c r="AB276" s="484"/>
      <c r="AC276" s="484"/>
      <c r="AD276" s="484"/>
      <c r="AE276" s="484"/>
      <c r="AF276" s="484"/>
      <c r="AG276" s="484"/>
      <c r="AH276" s="484"/>
      <c r="AI276" s="484"/>
      <c r="AJ276" s="484"/>
      <c r="AK276" s="484"/>
      <c r="AL276" s="484"/>
      <c r="AM276" s="484"/>
      <c r="AN276" s="484"/>
      <c r="AO276" s="484"/>
    </row>
    <row r="277" spans="1:41" x14ac:dyDescent="0.35">
      <c r="A277" s="484"/>
      <c r="B277" s="484"/>
      <c r="C277" s="484"/>
      <c r="D277" s="484"/>
      <c r="E277" s="484"/>
      <c r="F277" s="484"/>
      <c r="G277" s="484"/>
      <c r="H277" s="484"/>
      <c r="I277" s="484"/>
      <c r="J277" s="484"/>
      <c r="K277" s="484"/>
      <c r="L277" s="484"/>
      <c r="M277" s="484"/>
      <c r="N277" s="484"/>
      <c r="O277" s="484"/>
      <c r="P277" s="484"/>
      <c r="Q277" s="484"/>
      <c r="R277" s="484"/>
      <c r="S277" s="484"/>
      <c r="T277" s="484"/>
      <c r="U277" s="484"/>
      <c r="V277" s="484"/>
      <c r="W277" s="484"/>
      <c r="X277" s="484"/>
      <c r="Y277" s="484"/>
      <c r="Z277" s="484"/>
      <c r="AA277" s="484"/>
      <c r="AB277" s="484"/>
      <c r="AC277" s="484"/>
      <c r="AD277" s="484"/>
      <c r="AE277" s="484"/>
      <c r="AF277" s="484"/>
      <c r="AG277" s="484"/>
      <c r="AH277" s="484"/>
      <c r="AI277" s="484"/>
      <c r="AJ277" s="484"/>
      <c r="AK277" s="484"/>
      <c r="AL277" s="484"/>
      <c r="AM277" s="484"/>
      <c r="AN277" s="484"/>
      <c r="AO277" s="484"/>
    </row>
    <row r="278" spans="1:41" x14ac:dyDescent="0.35">
      <c r="A278" s="484"/>
      <c r="B278" s="484"/>
      <c r="C278" s="484"/>
      <c r="D278" s="484"/>
      <c r="E278" s="484"/>
      <c r="F278" s="484"/>
      <c r="G278" s="484"/>
      <c r="H278" s="484"/>
      <c r="I278" s="484"/>
      <c r="J278" s="484"/>
      <c r="K278" s="484"/>
      <c r="L278" s="484"/>
      <c r="M278" s="484"/>
      <c r="N278" s="484"/>
      <c r="O278" s="484"/>
      <c r="P278" s="484"/>
      <c r="Q278" s="484"/>
      <c r="R278" s="484"/>
      <c r="S278" s="484"/>
      <c r="T278" s="484"/>
      <c r="U278" s="484"/>
      <c r="V278" s="484"/>
      <c r="W278" s="484"/>
      <c r="X278" s="484"/>
      <c r="Y278" s="484"/>
      <c r="Z278" s="484"/>
      <c r="AA278" s="484"/>
      <c r="AB278" s="484"/>
      <c r="AC278" s="484"/>
      <c r="AD278" s="484"/>
      <c r="AE278" s="484"/>
      <c r="AF278" s="484"/>
      <c r="AG278" s="484"/>
      <c r="AH278" s="484"/>
      <c r="AI278" s="484"/>
      <c r="AJ278" s="484"/>
      <c r="AK278" s="484"/>
      <c r="AL278" s="484"/>
      <c r="AM278" s="484"/>
      <c r="AN278" s="484"/>
      <c r="AO278" s="484"/>
    </row>
    <row r="279" spans="1:41" x14ac:dyDescent="0.35">
      <c r="A279" s="484"/>
      <c r="B279" s="484"/>
      <c r="C279" s="484"/>
      <c r="D279" s="484"/>
      <c r="E279" s="484"/>
      <c r="F279" s="484"/>
      <c r="G279" s="484"/>
      <c r="H279" s="484"/>
      <c r="I279" s="484"/>
      <c r="J279" s="484"/>
      <c r="K279" s="484"/>
      <c r="L279" s="484"/>
      <c r="M279" s="484"/>
      <c r="N279" s="484"/>
      <c r="O279" s="484"/>
      <c r="P279" s="484"/>
      <c r="Q279" s="484"/>
      <c r="R279" s="484"/>
      <c r="S279" s="484"/>
      <c r="T279" s="484"/>
      <c r="U279" s="484"/>
      <c r="V279" s="484"/>
      <c r="W279" s="484"/>
      <c r="X279" s="484"/>
      <c r="Y279" s="484"/>
      <c r="Z279" s="484"/>
      <c r="AA279" s="484"/>
      <c r="AB279" s="484"/>
      <c r="AC279" s="484"/>
      <c r="AD279" s="484"/>
      <c r="AE279" s="484"/>
      <c r="AF279" s="484"/>
      <c r="AG279" s="484"/>
      <c r="AH279" s="484"/>
      <c r="AI279" s="484"/>
      <c r="AJ279" s="484"/>
      <c r="AK279" s="484"/>
      <c r="AL279" s="484"/>
      <c r="AM279" s="484"/>
      <c r="AN279" s="484"/>
      <c r="AO279" s="484"/>
    </row>
    <row r="280" spans="1:41" x14ac:dyDescent="0.35">
      <c r="A280" s="484"/>
      <c r="B280" s="484"/>
      <c r="C280" s="484"/>
      <c r="D280" s="484"/>
      <c r="E280" s="484"/>
      <c r="F280" s="484"/>
      <c r="G280" s="484"/>
      <c r="H280" s="484"/>
      <c r="I280" s="484"/>
      <c r="J280" s="484"/>
      <c r="K280" s="484"/>
      <c r="L280" s="484"/>
      <c r="M280" s="484"/>
      <c r="N280" s="484"/>
      <c r="O280" s="484"/>
      <c r="P280" s="484"/>
      <c r="Q280" s="484"/>
      <c r="R280" s="484"/>
      <c r="S280" s="484"/>
      <c r="T280" s="484"/>
      <c r="U280" s="484"/>
      <c r="V280" s="484"/>
      <c r="W280" s="484"/>
      <c r="X280" s="484"/>
      <c r="Y280" s="484"/>
      <c r="Z280" s="484"/>
      <c r="AA280" s="484"/>
      <c r="AB280" s="484"/>
      <c r="AC280" s="484"/>
      <c r="AD280" s="484"/>
      <c r="AE280" s="484"/>
      <c r="AF280" s="484"/>
      <c r="AG280" s="484"/>
      <c r="AH280" s="484"/>
      <c r="AI280" s="484"/>
      <c r="AJ280" s="484"/>
      <c r="AK280" s="484"/>
      <c r="AL280" s="484"/>
      <c r="AM280" s="484"/>
      <c r="AN280" s="484"/>
      <c r="AO280" s="484"/>
    </row>
    <row r="281" spans="1:41" x14ac:dyDescent="0.35">
      <c r="A281" s="484"/>
      <c r="B281" s="484"/>
      <c r="C281" s="484"/>
      <c r="D281" s="484"/>
      <c r="E281" s="484"/>
      <c r="F281" s="484"/>
      <c r="G281" s="484"/>
      <c r="H281" s="484"/>
      <c r="I281" s="484"/>
      <c r="J281" s="484"/>
      <c r="K281" s="484"/>
      <c r="L281" s="484"/>
      <c r="M281" s="484"/>
      <c r="N281" s="484"/>
      <c r="O281" s="484"/>
      <c r="P281" s="484"/>
      <c r="Q281" s="484"/>
      <c r="R281" s="484"/>
      <c r="S281" s="484"/>
      <c r="T281" s="484"/>
      <c r="U281" s="484"/>
      <c r="V281" s="484"/>
      <c r="W281" s="484"/>
      <c r="X281" s="484"/>
      <c r="Y281" s="484"/>
      <c r="Z281" s="484"/>
      <c r="AA281" s="484"/>
      <c r="AB281" s="484"/>
      <c r="AC281" s="484"/>
      <c r="AD281" s="484"/>
      <c r="AE281" s="484"/>
      <c r="AF281" s="484"/>
      <c r="AG281" s="484"/>
      <c r="AH281" s="484"/>
      <c r="AI281" s="484"/>
      <c r="AJ281" s="484"/>
      <c r="AK281" s="484"/>
      <c r="AL281" s="484"/>
      <c r="AM281" s="484"/>
      <c r="AN281" s="484"/>
      <c r="AO281" s="484"/>
    </row>
    <row r="282" spans="1:41" x14ac:dyDescent="0.35">
      <c r="A282" s="484"/>
      <c r="B282" s="484"/>
      <c r="C282" s="484"/>
      <c r="D282" s="484"/>
      <c r="E282" s="484"/>
      <c r="F282" s="484"/>
      <c r="G282" s="484"/>
      <c r="H282" s="484"/>
      <c r="I282" s="484"/>
      <c r="J282" s="484"/>
      <c r="K282" s="484"/>
      <c r="L282" s="484"/>
      <c r="M282" s="484"/>
      <c r="N282" s="484"/>
      <c r="O282" s="484"/>
      <c r="P282" s="484"/>
      <c r="Q282" s="484"/>
      <c r="R282" s="484"/>
      <c r="S282" s="484"/>
      <c r="T282" s="484"/>
      <c r="U282" s="484"/>
      <c r="V282" s="484"/>
      <c r="W282" s="484"/>
      <c r="X282" s="484"/>
      <c r="Y282" s="484"/>
      <c r="Z282" s="484"/>
      <c r="AA282" s="484"/>
      <c r="AB282" s="484"/>
      <c r="AC282" s="484"/>
      <c r="AD282" s="484"/>
      <c r="AE282" s="484"/>
      <c r="AF282" s="484"/>
      <c r="AG282" s="484"/>
      <c r="AH282" s="484"/>
      <c r="AI282" s="484"/>
      <c r="AJ282" s="484"/>
      <c r="AK282" s="484"/>
      <c r="AL282" s="484"/>
      <c r="AM282" s="484"/>
      <c r="AN282" s="484"/>
      <c r="AO282" s="484"/>
    </row>
    <row r="283" spans="1:41" x14ac:dyDescent="0.35">
      <c r="A283" s="484"/>
      <c r="B283" s="484"/>
      <c r="C283" s="484"/>
      <c r="D283" s="484"/>
      <c r="E283" s="484"/>
      <c r="F283" s="484"/>
      <c r="G283" s="484"/>
      <c r="H283" s="484"/>
      <c r="I283" s="484"/>
      <c r="J283" s="484"/>
      <c r="K283" s="484"/>
      <c r="L283" s="484"/>
      <c r="M283" s="484"/>
      <c r="N283" s="484"/>
      <c r="O283" s="484"/>
      <c r="P283" s="484"/>
      <c r="Q283" s="484"/>
      <c r="R283" s="484"/>
      <c r="S283" s="484"/>
      <c r="T283" s="484"/>
      <c r="U283" s="484"/>
      <c r="V283" s="484"/>
      <c r="W283" s="484"/>
      <c r="X283" s="484"/>
      <c r="Y283" s="484"/>
      <c r="Z283" s="484"/>
      <c r="AA283" s="484"/>
      <c r="AB283" s="484"/>
      <c r="AC283" s="484"/>
      <c r="AD283" s="484"/>
      <c r="AE283" s="484"/>
      <c r="AF283" s="484"/>
      <c r="AG283" s="484"/>
      <c r="AH283" s="484"/>
      <c r="AI283" s="484"/>
      <c r="AJ283" s="484"/>
      <c r="AK283" s="484"/>
      <c r="AL283" s="484"/>
      <c r="AM283" s="484"/>
      <c r="AN283" s="484"/>
      <c r="AO283" s="484"/>
    </row>
    <row r="284" spans="1:41" x14ac:dyDescent="0.35">
      <c r="A284" s="484"/>
      <c r="B284" s="484"/>
      <c r="C284" s="484"/>
      <c r="D284" s="484"/>
      <c r="E284" s="484"/>
      <c r="F284" s="484"/>
      <c r="G284" s="484"/>
      <c r="H284" s="484"/>
      <c r="I284" s="484"/>
      <c r="J284" s="484"/>
      <c r="K284" s="484"/>
      <c r="L284" s="484"/>
      <c r="M284" s="484"/>
      <c r="N284" s="484"/>
      <c r="O284" s="484"/>
      <c r="P284" s="484"/>
      <c r="Q284" s="484"/>
      <c r="R284" s="484"/>
      <c r="S284" s="484"/>
      <c r="T284" s="484"/>
      <c r="U284" s="484"/>
      <c r="V284" s="484"/>
      <c r="W284" s="484"/>
      <c r="X284" s="484"/>
      <c r="Y284" s="484"/>
      <c r="Z284" s="484"/>
      <c r="AA284" s="484"/>
      <c r="AB284" s="484"/>
      <c r="AC284" s="484"/>
      <c r="AD284" s="484"/>
      <c r="AE284" s="484"/>
      <c r="AF284" s="484"/>
      <c r="AG284" s="484"/>
      <c r="AH284" s="484"/>
      <c r="AI284" s="484"/>
      <c r="AJ284" s="484"/>
      <c r="AK284" s="484"/>
      <c r="AL284" s="484"/>
      <c r="AM284" s="484"/>
      <c r="AN284" s="484"/>
      <c r="AO284" s="484"/>
    </row>
    <row r="285" spans="1:41" x14ac:dyDescent="0.35">
      <c r="A285" s="484"/>
      <c r="B285" s="484"/>
      <c r="C285" s="484"/>
      <c r="D285" s="484"/>
      <c r="E285" s="484"/>
      <c r="F285" s="484"/>
      <c r="G285" s="484"/>
      <c r="H285" s="484"/>
      <c r="I285" s="484"/>
      <c r="J285" s="484"/>
      <c r="K285" s="484"/>
      <c r="L285" s="484"/>
      <c r="M285" s="484"/>
      <c r="N285" s="484"/>
      <c r="O285" s="484"/>
      <c r="P285" s="484"/>
      <c r="Q285" s="484"/>
      <c r="R285" s="484"/>
      <c r="S285" s="484"/>
      <c r="T285" s="484"/>
      <c r="U285" s="484"/>
      <c r="V285" s="484"/>
      <c r="W285" s="484"/>
      <c r="X285" s="484"/>
      <c r="Y285" s="484"/>
      <c r="Z285" s="484"/>
      <c r="AA285" s="484"/>
      <c r="AB285" s="484"/>
      <c r="AC285" s="484"/>
      <c r="AD285" s="484"/>
      <c r="AE285" s="484"/>
      <c r="AF285" s="484"/>
      <c r="AG285" s="484"/>
      <c r="AH285" s="484"/>
      <c r="AI285" s="484"/>
      <c r="AJ285" s="484"/>
      <c r="AK285" s="484"/>
      <c r="AL285" s="484"/>
      <c r="AM285" s="484"/>
      <c r="AN285" s="484"/>
      <c r="AO285" s="484"/>
    </row>
    <row r="286" spans="1:41" x14ac:dyDescent="0.35">
      <c r="A286" s="484"/>
      <c r="B286" s="484"/>
      <c r="C286" s="484"/>
      <c r="D286" s="484"/>
      <c r="E286" s="484"/>
      <c r="F286" s="484"/>
      <c r="G286" s="484"/>
      <c r="H286" s="484"/>
      <c r="I286" s="484"/>
      <c r="J286" s="484"/>
      <c r="K286" s="484"/>
      <c r="L286" s="484"/>
      <c r="M286" s="484"/>
      <c r="N286" s="484"/>
      <c r="O286" s="484"/>
      <c r="P286" s="484"/>
      <c r="Q286" s="484"/>
      <c r="R286" s="484"/>
      <c r="S286" s="484"/>
      <c r="T286" s="484"/>
      <c r="U286" s="484"/>
      <c r="V286" s="484"/>
      <c r="W286" s="484"/>
      <c r="X286" s="484"/>
      <c r="Y286" s="484"/>
      <c r="Z286" s="484"/>
      <c r="AA286" s="484"/>
      <c r="AB286" s="484"/>
      <c r="AC286" s="484"/>
      <c r="AD286" s="484"/>
      <c r="AE286" s="484"/>
      <c r="AF286" s="484"/>
      <c r="AG286" s="484"/>
      <c r="AH286" s="484"/>
      <c r="AI286" s="484"/>
      <c r="AJ286" s="484"/>
      <c r="AK286" s="484"/>
      <c r="AL286" s="484"/>
      <c r="AM286" s="484"/>
      <c r="AN286" s="484"/>
      <c r="AO286" s="484"/>
    </row>
    <row r="287" spans="1:41" x14ac:dyDescent="0.35">
      <c r="A287" s="484"/>
      <c r="B287" s="484"/>
      <c r="C287" s="484"/>
      <c r="D287" s="484"/>
      <c r="E287" s="484"/>
      <c r="F287" s="484"/>
      <c r="G287" s="484"/>
      <c r="H287" s="484"/>
      <c r="I287" s="484"/>
      <c r="J287" s="484"/>
      <c r="K287" s="484"/>
      <c r="L287" s="484"/>
      <c r="M287" s="484"/>
      <c r="N287" s="484"/>
      <c r="O287" s="484"/>
      <c r="P287" s="484"/>
      <c r="Q287" s="484"/>
      <c r="R287" s="484"/>
      <c r="S287" s="484"/>
      <c r="T287" s="484"/>
      <c r="U287" s="484"/>
      <c r="V287" s="484"/>
      <c r="W287" s="484"/>
      <c r="X287" s="484"/>
      <c r="Y287" s="484"/>
      <c r="Z287" s="484"/>
      <c r="AA287" s="484"/>
      <c r="AB287" s="484"/>
      <c r="AC287" s="484"/>
      <c r="AD287" s="484"/>
      <c r="AE287" s="484"/>
      <c r="AF287" s="484"/>
      <c r="AG287" s="484"/>
      <c r="AH287" s="484"/>
      <c r="AI287" s="484"/>
      <c r="AJ287" s="484"/>
      <c r="AK287" s="484"/>
      <c r="AL287" s="484"/>
      <c r="AM287" s="484"/>
      <c r="AN287" s="484"/>
      <c r="AO287" s="484"/>
    </row>
    <row r="288" spans="1:41" x14ac:dyDescent="0.35">
      <c r="A288" s="484"/>
      <c r="B288" s="484"/>
      <c r="C288" s="484"/>
      <c r="D288" s="484"/>
      <c r="E288" s="484"/>
      <c r="F288" s="484"/>
      <c r="G288" s="484"/>
      <c r="H288" s="484"/>
      <c r="I288" s="484"/>
      <c r="J288" s="484"/>
      <c r="K288" s="484"/>
      <c r="L288" s="484"/>
      <c r="M288" s="484"/>
      <c r="N288" s="484"/>
      <c r="O288" s="484"/>
      <c r="P288" s="484"/>
      <c r="Q288" s="484"/>
      <c r="R288" s="484"/>
      <c r="S288" s="484"/>
      <c r="T288" s="484"/>
      <c r="U288" s="484"/>
      <c r="V288" s="484"/>
      <c r="W288" s="484"/>
      <c r="X288" s="484"/>
      <c r="Y288" s="484"/>
      <c r="Z288" s="484"/>
      <c r="AA288" s="484"/>
      <c r="AB288" s="484"/>
      <c r="AC288" s="484"/>
      <c r="AD288" s="484"/>
      <c r="AE288" s="484"/>
      <c r="AF288" s="484"/>
      <c r="AG288" s="484"/>
      <c r="AH288" s="484"/>
      <c r="AI288" s="484"/>
      <c r="AJ288" s="484"/>
      <c r="AK288" s="484"/>
      <c r="AL288" s="484"/>
      <c r="AM288" s="484"/>
      <c r="AN288" s="484"/>
      <c r="AO288" s="484"/>
    </row>
    <row r="289" spans="1:41" x14ac:dyDescent="0.35">
      <c r="A289" s="484"/>
      <c r="B289" s="484"/>
      <c r="C289" s="484"/>
      <c r="D289" s="484"/>
      <c r="E289" s="484"/>
      <c r="F289" s="484"/>
      <c r="G289" s="484"/>
      <c r="H289" s="484"/>
      <c r="I289" s="484"/>
      <c r="J289" s="484"/>
      <c r="K289" s="484"/>
      <c r="L289" s="484"/>
      <c r="M289" s="484"/>
      <c r="N289" s="484"/>
      <c r="O289" s="484"/>
      <c r="P289" s="484"/>
      <c r="Q289" s="484"/>
      <c r="R289" s="484"/>
      <c r="S289" s="484"/>
      <c r="T289" s="484"/>
      <c r="U289" s="484"/>
      <c r="V289" s="484"/>
      <c r="W289" s="484"/>
      <c r="X289" s="484"/>
      <c r="Y289" s="484"/>
      <c r="Z289" s="484"/>
      <c r="AA289" s="484"/>
      <c r="AB289" s="484"/>
      <c r="AC289" s="484"/>
      <c r="AD289" s="484"/>
      <c r="AE289" s="484"/>
      <c r="AF289" s="484"/>
      <c r="AG289" s="484"/>
      <c r="AH289" s="484"/>
      <c r="AI289" s="484"/>
      <c r="AJ289" s="484"/>
      <c r="AK289" s="484"/>
      <c r="AL289" s="484"/>
      <c r="AM289" s="484"/>
      <c r="AN289" s="484"/>
      <c r="AO289" s="484"/>
    </row>
    <row r="290" spans="1:41" x14ac:dyDescent="0.35">
      <c r="A290" s="484"/>
      <c r="B290" s="484"/>
      <c r="C290" s="484"/>
      <c r="D290" s="484"/>
      <c r="E290" s="484"/>
      <c r="F290" s="484"/>
      <c r="G290" s="484"/>
      <c r="H290" s="484"/>
      <c r="I290" s="484"/>
      <c r="J290" s="484"/>
      <c r="K290" s="484"/>
      <c r="L290" s="484"/>
      <c r="M290" s="484"/>
      <c r="N290" s="484"/>
      <c r="O290" s="484"/>
      <c r="P290" s="484"/>
      <c r="Q290" s="484"/>
      <c r="R290" s="484"/>
      <c r="S290" s="484"/>
      <c r="T290" s="484"/>
      <c r="U290" s="484"/>
      <c r="V290" s="484"/>
      <c r="W290" s="484"/>
      <c r="X290" s="484"/>
      <c r="Y290" s="484"/>
      <c r="Z290" s="484"/>
      <c r="AA290" s="484"/>
      <c r="AB290" s="484"/>
      <c r="AC290" s="484"/>
      <c r="AD290" s="484"/>
      <c r="AE290" s="484"/>
      <c r="AF290" s="484"/>
      <c r="AG290" s="484"/>
      <c r="AH290" s="484"/>
      <c r="AI290" s="484"/>
      <c r="AJ290" s="484"/>
      <c r="AK290" s="484"/>
      <c r="AL290" s="484"/>
      <c r="AM290" s="484"/>
      <c r="AN290" s="484"/>
      <c r="AO290" s="484"/>
    </row>
    <row r="291" spans="1:41" x14ac:dyDescent="0.35">
      <c r="A291" s="484"/>
      <c r="B291" s="484"/>
      <c r="C291" s="484"/>
      <c r="D291" s="484"/>
      <c r="E291" s="484"/>
      <c r="F291" s="484"/>
      <c r="G291" s="484"/>
      <c r="H291" s="484"/>
      <c r="I291" s="484"/>
      <c r="J291" s="484"/>
      <c r="K291" s="484"/>
      <c r="L291" s="484"/>
      <c r="M291" s="484"/>
      <c r="N291" s="484"/>
      <c r="O291" s="484"/>
      <c r="P291" s="484"/>
      <c r="Q291" s="484"/>
      <c r="R291" s="484"/>
      <c r="S291" s="484"/>
      <c r="T291" s="484"/>
      <c r="U291" s="484"/>
      <c r="V291" s="484"/>
      <c r="W291" s="484"/>
      <c r="X291" s="484"/>
      <c r="Y291" s="484"/>
      <c r="Z291" s="484"/>
      <c r="AA291" s="484"/>
      <c r="AB291" s="484"/>
      <c r="AC291" s="484"/>
      <c r="AD291" s="484"/>
      <c r="AE291" s="484"/>
      <c r="AF291" s="484"/>
      <c r="AG291" s="484"/>
      <c r="AH291" s="484"/>
      <c r="AI291" s="484"/>
      <c r="AJ291" s="484"/>
      <c r="AK291" s="484"/>
      <c r="AL291" s="484"/>
      <c r="AM291" s="484"/>
      <c r="AN291" s="484"/>
      <c r="AO291" s="484"/>
    </row>
    <row r="292" spans="1:41" x14ac:dyDescent="0.35">
      <c r="A292" s="484"/>
      <c r="B292" s="484"/>
      <c r="C292" s="484"/>
      <c r="D292" s="484"/>
      <c r="E292" s="484"/>
      <c r="F292" s="484"/>
      <c r="G292" s="484"/>
      <c r="H292" s="484"/>
      <c r="I292" s="484"/>
      <c r="J292" s="484"/>
      <c r="K292" s="484"/>
      <c r="L292" s="484"/>
      <c r="M292" s="484"/>
      <c r="N292" s="484"/>
      <c r="O292" s="484"/>
      <c r="P292" s="484"/>
      <c r="Q292" s="484"/>
      <c r="R292" s="484"/>
      <c r="S292" s="484"/>
      <c r="T292" s="484"/>
      <c r="U292" s="484"/>
      <c r="V292" s="484"/>
      <c r="W292" s="484"/>
      <c r="X292" s="484"/>
      <c r="Y292" s="484"/>
      <c r="Z292" s="484"/>
      <c r="AA292" s="484"/>
      <c r="AB292" s="484"/>
      <c r="AC292" s="484"/>
      <c r="AD292" s="484"/>
      <c r="AE292" s="484"/>
      <c r="AF292" s="484"/>
      <c r="AG292" s="484"/>
      <c r="AH292" s="484"/>
      <c r="AI292" s="484"/>
      <c r="AJ292" s="484"/>
      <c r="AK292" s="484"/>
      <c r="AL292" s="484"/>
      <c r="AM292" s="484"/>
      <c r="AN292" s="484"/>
      <c r="AO292" s="484"/>
    </row>
    <row r="293" spans="1:41" x14ac:dyDescent="0.35">
      <c r="A293" s="484"/>
      <c r="B293" s="484"/>
      <c r="C293" s="484"/>
      <c r="D293" s="484"/>
      <c r="E293" s="484"/>
      <c r="F293" s="484"/>
      <c r="G293" s="484"/>
      <c r="H293" s="484"/>
      <c r="I293" s="484"/>
      <c r="J293" s="484"/>
      <c r="K293" s="484"/>
      <c r="L293" s="484"/>
      <c r="M293" s="484"/>
      <c r="N293" s="484"/>
      <c r="O293" s="484"/>
      <c r="P293" s="484"/>
      <c r="Q293" s="484"/>
      <c r="R293" s="484"/>
      <c r="S293" s="484"/>
      <c r="T293" s="484"/>
      <c r="U293" s="484"/>
      <c r="V293" s="484"/>
      <c r="W293" s="484"/>
      <c r="X293" s="484"/>
      <c r="Y293" s="484"/>
      <c r="Z293" s="484"/>
      <c r="AA293" s="484"/>
      <c r="AB293" s="484"/>
      <c r="AC293" s="484"/>
      <c r="AD293" s="484"/>
      <c r="AE293" s="484"/>
      <c r="AF293" s="484"/>
      <c r="AG293" s="484"/>
      <c r="AH293" s="484"/>
      <c r="AI293" s="484"/>
      <c r="AJ293" s="484"/>
      <c r="AK293" s="484"/>
      <c r="AL293" s="484"/>
      <c r="AM293" s="484"/>
      <c r="AN293" s="484"/>
      <c r="AO293" s="484"/>
    </row>
    <row r="294" spans="1:41" x14ac:dyDescent="0.35">
      <c r="A294" s="484"/>
      <c r="B294" s="484"/>
      <c r="C294" s="484"/>
      <c r="D294" s="484"/>
      <c r="E294" s="484"/>
      <c r="F294" s="484"/>
      <c r="G294" s="484"/>
      <c r="H294" s="484"/>
      <c r="I294" s="484"/>
      <c r="J294" s="484"/>
      <c r="K294" s="484"/>
      <c r="L294" s="484"/>
      <c r="M294" s="484"/>
      <c r="N294" s="484"/>
      <c r="O294" s="484"/>
      <c r="P294" s="484"/>
      <c r="Q294" s="484"/>
      <c r="R294" s="484"/>
      <c r="S294" s="484"/>
      <c r="T294" s="484"/>
      <c r="U294" s="484"/>
      <c r="V294" s="484"/>
      <c r="W294" s="484"/>
      <c r="X294" s="484"/>
      <c r="Y294" s="484"/>
      <c r="Z294" s="484"/>
      <c r="AA294" s="484"/>
      <c r="AB294" s="484"/>
      <c r="AC294" s="484"/>
      <c r="AD294" s="484"/>
      <c r="AE294" s="484"/>
      <c r="AF294" s="484"/>
      <c r="AG294" s="484"/>
      <c r="AH294" s="484"/>
      <c r="AI294" s="484"/>
      <c r="AJ294" s="484"/>
      <c r="AK294" s="484"/>
      <c r="AL294" s="484"/>
      <c r="AM294" s="484"/>
      <c r="AN294" s="484"/>
      <c r="AO294" s="484"/>
    </row>
    <row r="295" spans="1:41" x14ac:dyDescent="0.35">
      <c r="A295" s="484"/>
      <c r="B295" s="484"/>
      <c r="C295" s="484"/>
      <c r="D295" s="484"/>
      <c r="E295" s="484"/>
      <c r="F295" s="484"/>
      <c r="G295" s="484"/>
      <c r="H295" s="484"/>
      <c r="I295" s="484"/>
      <c r="J295" s="484"/>
      <c r="K295" s="484"/>
      <c r="L295" s="484"/>
      <c r="M295" s="484"/>
      <c r="N295" s="484"/>
      <c r="O295" s="484"/>
      <c r="P295" s="484"/>
      <c r="Q295" s="484"/>
      <c r="R295" s="484"/>
      <c r="S295" s="484"/>
      <c r="T295" s="484"/>
      <c r="U295" s="484"/>
      <c r="V295" s="484"/>
      <c r="W295" s="484"/>
      <c r="X295" s="484"/>
      <c r="Y295" s="484"/>
      <c r="Z295" s="484"/>
      <c r="AA295" s="484"/>
      <c r="AB295" s="484"/>
      <c r="AC295" s="484"/>
      <c r="AD295" s="484"/>
      <c r="AE295" s="484"/>
      <c r="AF295" s="484"/>
      <c r="AG295" s="484"/>
      <c r="AH295" s="484"/>
      <c r="AI295" s="484"/>
      <c r="AJ295" s="484"/>
      <c r="AK295" s="484"/>
      <c r="AL295" s="484"/>
      <c r="AM295" s="484"/>
      <c r="AN295" s="484"/>
      <c r="AO295" s="484"/>
    </row>
    <row r="296" spans="1:41" x14ac:dyDescent="0.35">
      <c r="A296" s="484"/>
      <c r="B296" s="484"/>
      <c r="C296" s="484"/>
      <c r="D296" s="484"/>
      <c r="E296" s="484"/>
      <c r="F296" s="484"/>
      <c r="G296" s="484"/>
      <c r="H296" s="484"/>
      <c r="I296" s="484"/>
      <c r="J296" s="484"/>
      <c r="K296" s="484"/>
      <c r="L296" s="484"/>
      <c r="M296" s="484"/>
      <c r="N296" s="484"/>
      <c r="O296" s="484"/>
      <c r="P296" s="484"/>
      <c r="Q296" s="484"/>
      <c r="R296" s="484"/>
      <c r="S296" s="484"/>
      <c r="T296" s="484"/>
      <c r="U296" s="484"/>
      <c r="V296" s="484"/>
      <c r="W296" s="484"/>
      <c r="X296" s="484"/>
      <c r="Y296" s="484"/>
      <c r="Z296" s="484"/>
      <c r="AA296" s="484"/>
      <c r="AB296" s="484"/>
      <c r="AC296" s="484"/>
      <c r="AD296" s="484"/>
      <c r="AE296" s="484"/>
      <c r="AF296" s="484"/>
      <c r="AG296" s="484"/>
      <c r="AH296" s="484"/>
      <c r="AI296" s="484"/>
      <c r="AJ296" s="484"/>
      <c r="AK296" s="484"/>
      <c r="AL296" s="484"/>
      <c r="AM296" s="484"/>
      <c r="AN296" s="484"/>
      <c r="AO296" s="484"/>
    </row>
    <row r="297" spans="1:41" x14ac:dyDescent="0.35">
      <c r="A297" s="484"/>
      <c r="B297" s="484"/>
      <c r="C297" s="484"/>
      <c r="D297" s="484"/>
      <c r="E297" s="484"/>
      <c r="F297" s="484"/>
      <c r="G297" s="484"/>
      <c r="H297" s="484"/>
      <c r="I297" s="484"/>
      <c r="J297" s="484"/>
      <c r="K297" s="484"/>
      <c r="L297" s="484"/>
      <c r="M297" s="484"/>
      <c r="N297" s="484"/>
      <c r="O297" s="484"/>
      <c r="P297" s="484"/>
      <c r="Q297" s="484"/>
      <c r="R297" s="484"/>
      <c r="S297" s="484"/>
      <c r="T297" s="484"/>
      <c r="U297" s="484"/>
      <c r="V297" s="484"/>
      <c r="W297" s="484"/>
      <c r="X297" s="484"/>
      <c r="Y297" s="484"/>
      <c r="Z297" s="484"/>
      <c r="AA297" s="484"/>
      <c r="AB297" s="484"/>
      <c r="AC297" s="484"/>
      <c r="AD297" s="484"/>
      <c r="AE297" s="484"/>
      <c r="AF297" s="484"/>
      <c r="AG297" s="484"/>
      <c r="AH297" s="484"/>
      <c r="AI297" s="484"/>
      <c r="AJ297" s="484"/>
      <c r="AK297" s="484"/>
      <c r="AL297" s="484"/>
      <c r="AM297" s="484"/>
      <c r="AN297" s="484"/>
      <c r="AO297" s="484"/>
    </row>
    <row r="298" spans="1:41" x14ac:dyDescent="0.35">
      <c r="A298" s="484"/>
      <c r="B298" s="484"/>
      <c r="C298" s="484"/>
      <c r="D298" s="484"/>
      <c r="E298" s="484"/>
      <c r="F298" s="484"/>
      <c r="G298" s="484"/>
      <c r="H298" s="484"/>
      <c r="I298" s="484"/>
      <c r="J298" s="484"/>
      <c r="K298" s="484"/>
      <c r="L298" s="484"/>
      <c r="M298" s="484"/>
      <c r="N298" s="484"/>
      <c r="O298" s="484"/>
      <c r="P298" s="484"/>
      <c r="Q298" s="484"/>
      <c r="R298" s="484"/>
      <c r="S298" s="484"/>
      <c r="T298" s="484"/>
      <c r="U298" s="484"/>
      <c r="V298" s="484"/>
      <c r="W298" s="484"/>
      <c r="X298" s="484"/>
      <c r="Y298" s="484"/>
      <c r="Z298" s="484"/>
      <c r="AA298" s="484"/>
      <c r="AB298" s="484"/>
      <c r="AC298" s="484"/>
      <c r="AD298" s="484"/>
      <c r="AE298" s="484"/>
      <c r="AF298" s="484"/>
      <c r="AG298" s="484"/>
      <c r="AH298" s="484"/>
      <c r="AI298" s="484"/>
      <c r="AJ298" s="484"/>
      <c r="AK298" s="484"/>
      <c r="AL298" s="484"/>
      <c r="AM298" s="484"/>
      <c r="AN298" s="484"/>
      <c r="AO298" s="484"/>
    </row>
    <row r="299" spans="1:41" x14ac:dyDescent="0.35">
      <c r="A299" s="484"/>
      <c r="B299" s="484"/>
      <c r="C299" s="484"/>
      <c r="D299" s="484"/>
      <c r="E299" s="484"/>
      <c r="F299" s="484"/>
      <c r="G299" s="484"/>
      <c r="H299" s="484"/>
      <c r="I299" s="484"/>
      <c r="J299" s="484"/>
      <c r="K299" s="484"/>
      <c r="L299" s="484"/>
      <c r="M299" s="484"/>
      <c r="N299" s="484"/>
      <c r="O299" s="484"/>
      <c r="P299" s="484"/>
      <c r="Q299" s="484"/>
      <c r="R299" s="484"/>
      <c r="S299" s="484"/>
      <c r="T299" s="484"/>
      <c r="U299" s="484"/>
      <c r="V299" s="484"/>
      <c r="W299" s="484"/>
      <c r="X299" s="484"/>
      <c r="Y299" s="484"/>
      <c r="Z299" s="484"/>
      <c r="AA299" s="484"/>
      <c r="AB299" s="484"/>
      <c r="AC299" s="484"/>
      <c r="AD299" s="484"/>
      <c r="AE299" s="484"/>
      <c r="AF299" s="484"/>
      <c r="AG299" s="484"/>
      <c r="AH299" s="484"/>
      <c r="AI299" s="484"/>
      <c r="AJ299" s="484"/>
      <c r="AK299" s="484"/>
      <c r="AL299" s="484"/>
      <c r="AM299" s="484"/>
      <c r="AN299" s="484"/>
      <c r="AO299" s="484"/>
    </row>
    <row r="300" spans="1:41" x14ac:dyDescent="0.35">
      <c r="A300" s="484"/>
      <c r="B300" s="484"/>
      <c r="C300" s="484"/>
      <c r="D300" s="484"/>
      <c r="E300" s="484"/>
      <c r="F300" s="484"/>
      <c r="G300" s="484"/>
      <c r="H300" s="484"/>
      <c r="I300" s="484"/>
      <c r="J300" s="484"/>
      <c r="K300" s="484"/>
      <c r="L300" s="484"/>
      <c r="M300" s="484"/>
      <c r="N300" s="484"/>
      <c r="O300" s="484"/>
      <c r="P300" s="484"/>
      <c r="Q300" s="484"/>
      <c r="R300" s="484"/>
      <c r="S300" s="484"/>
      <c r="T300" s="484"/>
      <c r="U300" s="484"/>
      <c r="V300" s="484"/>
      <c r="W300" s="484"/>
      <c r="X300" s="484"/>
      <c r="Y300" s="484"/>
      <c r="Z300" s="484"/>
      <c r="AA300" s="484"/>
      <c r="AB300" s="484"/>
      <c r="AC300" s="484"/>
      <c r="AD300" s="484"/>
      <c r="AE300" s="484"/>
      <c r="AF300" s="484"/>
      <c r="AG300" s="484"/>
      <c r="AH300" s="484"/>
      <c r="AI300" s="484"/>
      <c r="AJ300" s="484"/>
      <c r="AK300" s="484"/>
      <c r="AL300" s="484"/>
      <c r="AM300" s="484"/>
      <c r="AN300" s="484"/>
      <c r="AO300" s="484"/>
    </row>
    <row r="301" spans="1:41" x14ac:dyDescent="0.35">
      <c r="A301" s="484"/>
      <c r="B301" s="484"/>
      <c r="C301" s="484"/>
      <c r="D301" s="484"/>
      <c r="E301" s="484"/>
      <c r="F301" s="484"/>
      <c r="G301" s="484"/>
      <c r="H301" s="484"/>
      <c r="I301" s="484"/>
      <c r="J301" s="484"/>
      <c r="K301" s="484"/>
      <c r="L301" s="484"/>
      <c r="M301" s="484"/>
      <c r="N301" s="484"/>
      <c r="O301" s="484"/>
      <c r="P301" s="484"/>
      <c r="Q301" s="484"/>
      <c r="R301" s="484"/>
      <c r="S301" s="484"/>
      <c r="T301" s="484"/>
      <c r="U301" s="484"/>
      <c r="V301" s="484"/>
      <c r="W301" s="484"/>
      <c r="X301" s="484"/>
      <c r="Y301" s="484"/>
      <c r="Z301" s="484"/>
      <c r="AA301" s="484"/>
      <c r="AB301" s="484"/>
      <c r="AC301" s="484"/>
      <c r="AD301" s="484"/>
      <c r="AE301" s="484"/>
      <c r="AF301" s="484"/>
      <c r="AG301" s="484"/>
      <c r="AH301" s="484"/>
      <c r="AI301" s="484"/>
      <c r="AJ301" s="484"/>
      <c r="AK301" s="484"/>
      <c r="AL301" s="484"/>
      <c r="AM301" s="484"/>
      <c r="AN301" s="484"/>
      <c r="AO301" s="484"/>
    </row>
    <row r="302" spans="1:41" x14ac:dyDescent="0.35">
      <c r="A302" s="484"/>
      <c r="B302" s="484"/>
      <c r="C302" s="484"/>
      <c r="D302" s="484"/>
      <c r="E302" s="484"/>
      <c r="F302" s="484"/>
      <c r="G302" s="484"/>
      <c r="H302" s="484"/>
      <c r="I302" s="484"/>
      <c r="J302" s="484"/>
      <c r="K302" s="484"/>
      <c r="L302" s="484"/>
      <c r="M302" s="484"/>
      <c r="N302" s="484"/>
      <c r="O302" s="484"/>
      <c r="P302" s="484"/>
      <c r="Q302" s="484"/>
      <c r="R302" s="484"/>
      <c r="S302" s="484"/>
      <c r="T302" s="484"/>
      <c r="U302" s="484"/>
      <c r="V302" s="484"/>
      <c r="W302" s="484"/>
      <c r="X302" s="484"/>
      <c r="Y302" s="484"/>
      <c r="Z302" s="484"/>
      <c r="AA302" s="484"/>
      <c r="AB302" s="484"/>
      <c r="AC302" s="484"/>
      <c r="AD302" s="484"/>
      <c r="AE302" s="484"/>
      <c r="AF302" s="484"/>
      <c r="AG302" s="484"/>
      <c r="AH302" s="484"/>
      <c r="AI302" s="484"/>
      <c r="AJ302" s="484"/>
      <c r="AK302" s="484"/>
      <c r="AL302" s="484"/>
      <c r="AM302" s="484"/>
      <c r="AN302" s="484"/>
      <c r="AO302" s="484"/>
    </row>
    <row r="303" spans="1:41" x14ac:dyDescent="0.35">
      <c r="A303" s="484"/>
      <c r="B303" s="484"/>
      <c r="C303" s="484"/>
      <c r="D303" s="484"/>
      <c r="E303" s="484"/>
      <c r="F303" s="484"/>
      <c r="G303" s="484"/>
      <c r="H303" s="484"/>
      <c r="I303" s="484"/>
      <c r="J303" s="484"/>
      <c r="K303" s="484"/>
      <c r="L303" s="484"/>
      <c r="M303" s="484"/>
      <c r="N303" s="484"/>
      <c r="O303" s="484"/>
      <c r="P303" s="484"/>
      <c r="Q303" s="484"/>
      <c r="R303" s="484"/>
      <c r="S303" s="484"/>
      <c r="T303" s="484"/>
      <c r="U303" s="484"/>
      <c r="V303" s="484"/>
      <c r="W303" s="484"/>
      <c r="X303" s="484"/>
      <c r="Y303" s="484"/>
      <c r="Z303" s="484"/>
      <c r="AA303" s="484"/>
      <c r="AB303" s="484"/>
      <c r="AC303" s="484"/>
      <c r="AD303" s="484"/>
      <c r="AE303" s="484"/>
      <c r="AF303" s="484"/>
      <c r="AG303" s="484"/>
      <c r="AH303" s="484"/>
      <c r="AI303" s="484"/>
      <c r="AJ303" s="484"/>
      <c r="AK303" s="484"/>
      <c r="AL303" s="484"/>
      <c r="AM303" s="484"/>
      <c r="AN303" s="484"/>
      <c r="AO303" s="484"/>
    </row>
    <row r="304" spans="1:41" x14ac:dyDescent="0.35">
      <c r="A304" s="484"/>
      <c r="B304" s="484"/>
      <c r="C304" s="484"/>
      <c r="D304" s="484"/>
      <c r="E304" s="484"/>
      <c r="F304" s="484"/>
      <c r="G304" s="484"/>
      <c r="H304" s="484"/>
      <c r="I304" s="484"/>
      <c r="J304" s="484"/>
      <c r="K304" s="484"/>
      <c r="L304" s="484"/>
      <c r="M304" s="484"/>
      <c r="N304" s="484"/>
      <c r="O304" s="484"/>
      <c r="P304" s="484"/>
      <c r="Q304" s="484"/>
      <c r="R304" s="484"/>
      <c r="S304" s="484"/>
      <c r="T304" s="484"/>
      <c r="U304" s="484"/>
      <c r="V304" s="484"/>
      <c r="W304" s="484"/>
      <c r="X304" s="484"/>
      <c r="Y304" s="484"/>
      <c r="Z304" s="484"/>
      <c r="AA304" s="484"/>
      <c r="AB304" s="484"/>
      <c r="AC304" s="484"/>
      <c r="AD304" s="484"/>
      <c r="AE304" s="484"/>
      <c r="AF304" s="484"/>
      <c r="AG304" s="484"/>
      <c r="AH304" s="484"/>
      <c r="AI304" s="484"/>
      <c r="AJ304" s="484"/>
      <c r="AK304" s="484"/>
      <c r="AL304" s="484"/>
      <c r="AM304" s="484"/>
      <c r="AN304" s="484"/>
      <c r="AO304" s="484"/>
    </row>
    <row r="305" spans="1:41" x14ac:dyDescent="0.35">
      <c r="A305" s="484"/>
      <c r="B305" s="484"/>
      <c r="C305" s="484"/>
      <c r="D305" s="484"/>
      <c r="E305" s="484"/>
      <c r="F305" s="484"/>
      <c r="G305" s="484"/>
      <c r="H305" s="484"/>
      <c r="I305" s="484"/>
      <c r="J305" s="484"/>
      <c r="K305" s="484"/>
      <c r="L305" s="484"/>
      <c r="M305" s="484"/>
      <c r="N305" s="484"/>
      <c r="O305" s="484"/>
      <c r="P305" s="484"/>
      <c r="Q305" s="484"/>
      <c r="R305" s="484"/>
      <c r="S305" s="484"/>
      <c r="T305" s="484"/>
      <c r="U305" s="484"/>
      <c r="V305" s="484"/>
      <c r="W305" s="484"/>
      <c r="X305" s="484"/>
      <c r="Y305" s="484"/>
      <c r="Z305" s="484"/>
      <c r="AA305" s="484"/>
      <c r="AB305" s="484"/>
      <c r="AC305" s="484"/>
      <c r="AD305" s="484"/>
      <c r="AE305" s="484"/>
      <c r="AF305" s="484"/>
      <c r="AG305" s="484"/>
      <c r="AH305" s="484"/>
      <c r="AI305" s="484"/>
      <c r="AJ305" s="484"/>
      <c r="AK305" s="484"/>
      <c r="AL305" s="484"/>
      <c r="AM305" s="484"/>
      <c r="AN305" s="484"/>
      <c r="AO305" s="484"/>
    </row>
    <row r="306" spans="1:41" x14ac:dyDescent="0.35">
      <c r="A306" s="484"/>
      <c r="B306" s="484"/>
      <c r="C306" s="484"/>
      <c r="D306" s="484"/>
      <c r="E306" s="484"/>
      <c r="F306" s="484"/>
      <c r="G306" s="484"/>
      <c r="H306" s="484"/>
      <c r="I306" s="484"/>
      <c r="J306" s="484"/>
      <c r="K306" s="484"/>
      <c r="L306" s="484"/>
      <c r="M306" s="484"/>
      <c r="N306" s="484"/>
      <c r="O306" s="484"/>
      <c r="P306" s="484"/>
      <c r="Q306" s="484"/>
      <c r="R306" s="484"/>
      <c r="S306" s="484"/>
      <c r="T306" s="484"/>
      <c r="U306" s="484"/>
      <c r="V306" s="484"/>
      <c r="W306" s="484"/>
      <c r="X306" s="484"/>
      <c r="Y306" s="484"/>
      <c r="Z306" s="484"/>
      <c r="AA306" s="484"/>
      <c r="AB306" s="484"/>
      <c r="AC306" s="484"/>
      <c r="AD306" s="484"/>
      <c r="AE306" s="484"/>
      <c r="AF306" s="484"/>
      <c r="AG306" s="484"/>
      <c r="AH306" s="484"/>
      <c r="AI306" s="484"/>
      <c r="AJ306" s="484"/>
      <c r="AK306" s="484"/>
      <c r="AL306" s="484"/>
      <c r="AM306" s="484"/>
      <c r="AN306" s="484"/>
      <c r="AO306" s="484"/>
    </row>
    <row r="307" spans="1:41" x14ac:dyDescent="0.35">
      <c r="A307" s="484"/>
      <c r="B307" s="484"/>
      <c r="C307" s="484"/>
      <c r="D307" s="484"/>
      <c r="E307" s="484"/>
      <c r="F307" s="484"/>
      <c r="G307" s="484"/>
      <c r="H307" s="484"/>
      <c r="I307" s="484"/>
      <c r="J307" s="484"/>
      <c r="K307" s="484"/>
      <c r="L307" s="484"/>
      <c r="M307" s="484"/>
      <c r="N307" s="484"/>
      <c r="O307" s="484"/>
      <c r="P307" s="484"/>
      <c r="Q307" s="484"/>
      <c r="R307" s="484"/>
      <c r="S307" s="484"/>
      <c r="T307" s="484"/>
      <c r="U307" s="484"/>
      <c r="V307" s="484"/>
      <c r="W307" s="484"/>
      <c r="X307" s="484"/>
      <c r="Y307" s="484"/>
      <c r="Z307" s="484"/>
      <c r="AA307" s="484"/>
      <c r="AB307" s="484"/>
      <c r="AC307" s="484"/>
      <c r="AD307" s="484"/>
      <c r="AE307" s="484"/>
      <c r="AF307" s="484"/>
      <c r="AG307" s="484"/>
      <c r="AH307" s="484"/>
      <c r="AI307" s="484"/>
      <c r="AJ307" s="484"/>
      <c r="AK307" s="484"/>
      <c r="AL307" s="484"/>
      <c r="AM307" s="484"/>
      <c r="AN307" s="484"/>
      <c r="AO307" s="484"/>
    </row>
    <row r="308" spans="1:41" x14ac:dyDescent="0.35">
      <c r="A308" s="484"/>
      <c r="B308" s="484"/>
      <c r="C308" s="484"/>
      <c r="D308" s="484"/>
      <c r="E308" s="484"/>
      <c r="F308" s="484"/>
      <c r="G308" s="484"/>
      <c r="H308" s="484"/>
      <c r="I308" s="484"/>
      <c r="J308" s="484"/>
      <c r="K308" s="484"/>
      <c r="L308" s="484"/>
      <c r="M308" s="484"/>
      <c r="N308" s="484"/>
      <c r="O308" s="484"/>
      <c r="P308" s="484"/>
      <c r="Q308" s="484"/>
      <c r="R308" s="484"/>
      <c r="S308" s="484"/>
      <c r="T308" s="484"/>
      <c r="U308" s="484"/>
      <c r="V308" s="484"/>
      <c r="W308" s="484"/>
      <c r="X308" s="484"/>
      <c r="Y308" s="484"/>
      <c r="Z308" s="484"/>
      <c r="AA308" s="484"/>
      <c r="AB308" s="484"/>
      <c r="AC308" s="484"/>
      <c r="AD308" s="484"/>
      <c r="AE308" s="484"/>
      <c r="AF308" s="484"/>
      <c r="AG308" s="484"/>
      <c r="AH308" s="484"/>
      <c r="AI308" s="484"/>
      <c r="AJ308" s="484"/>
      <c r="AK308" s="484"/>
      <c r="AL308" s="484"/>
      <c r="AM308" s="484"/>
      <c r="AN308" s="484"/>
      <c r="AO308" s="484"/>
    </row>
    <row r="309" spans="1:41" x14ac:dyDescent="0.35">
      <c r="A309" s="484"/>
      <c r="B309" s="484"/>
      <c r="C309" s="484"/>
      <c r="D309" s="484"/>
      <c r="E309" s="484"/>
      <c r="F309" s="484"/>
      <c r="G309" s="484"/>
      <c r="H309" s="484"/>
      <c r="I309" s="484"/>
      <c r="J309" s="484"/>
      <c r="K309" s="484"/>
      <c r="L309" s="484"/>
      <c r="M309" s="484"/>
      <c r="N309" s="484"/>
      <c r="O309" s="484"/>
      <c r="P309" s="484"/>
      <c r="Q309" s="484"/>
      <c r="R309" s="484"/>
      <c r="S309" s="484"/>
      <c r="T309" s="484"/>
      <c r="U309" s="484"/>
      <c r="V309" s="484"/>
      <c r="W309" s="484"/>
      <c r="X309" s="484"/>
      <c r="Y309" s="484"/>
      <c r="Z309" s="484"/>
      <c r="AA309" s="484"/>
      <c r="AB309" s="484"/>
      <c r="AC309" s="484"/>
      <c r="AD309" s="484"/>
      <c r="AE309" s="484"/>
      <c r="AF309" s="484"/>
      <c r="AG309" s="484"/>
      <c r="AH309" s="484"/>
      <c r="AI309" s="484"/>
      <c r="AJ309" s="484"/>
      <c r="AK309" s="484"/>
      <c r="AL309" s="484"/>
      <c r="AM309" s="484"/>
      <c r="AN309" s="484"/>
      <c r="AO309" s="484"/>
    </row>
    <row r="310" spans="1:41" x14ac:dyDescent="0.35">
      <c r="A310" s="484"/>
      <c r="B310" s="484"/>
      <c r="C310" s="484"/>
      <c r="D310" s="484"/>
      <c r="E310" s="484"/>
      <c r="F310" s="484"/>
      <c r="G310" s="484"/>
      <c r="H310" s="484"/>
      <c r="I310" s="484"/>
      <c r="J310" s="484"/>
      <c r="K310" s="484"/>
      <c r="L310" s="484"/>
      <c r="M310" s="484"/>
      <c r="N310" s="484"/>
      <c r="O310" s="484"/>
      <c r="P310" s="484"/>
      <c r="Q310" s="484"/>
      <c r="R310" s="484"/>
      <c r="S310" s="484"/>
      <c r="T310" s="484"/>
      <c r="U310" s="484"/>
      <c r="V310" s="484"/>
      <c r="W310" s="484"/>
      <c r="X310" s="484"/>
      <c r="Y310" s="484"/>
      <c r="Z310" s="484"/>
      <c r="AA310" s="484"/>
      <c r="AB310" s="484"/>
      <c r="AC310" s="484"/>
      <c r="AD310" s="484"/>
      <c r="AE310" s="484"/>
      <c r="AF310" s="484"/>
      <c r="AG310" s="484"/>
      <c r="AH310" s="484"/>
      <c r="AI310" s="484"/>
      <c r="AJ310" s="484"/>
      <c r="AK310" s="484"/>
      <c r="AL310" s="484"/>
      <c r="AM310" s="484"/>
      <c r="AN310" s="484"/>
      <c r="AO310" s="484"/>
    </row>
    <row r="311" spans="1:41" x14ac:dyDescent="0.35">
      <c r="A311" s="484"/>
      <c r="B311" s="484"/>
      <c r="C311" s="484"/>
      <c r="D311" s="484"/>
      <c r="E311" s="484"/>
      <c r="F311" s="484"/>
      <c r="G311" s="484"/>
      <c r="H311" s="484"/>
      <c r="I311" s="484"/>
      <c r="J311" s="484"/>
      <c r="K311" s="484"/>
      <c r="L311" s="484"/>
      <c r="M311" s="484"/>
      <c r="N311" s="484"/>
      <c r="O311" s="484"/>
      <c r="P311" s="484"/>
      <c r="Q311" s="484"/>
      <c r="R311" s="484"/>
      <c r="S311" s="484"/>
      <c r="T311" s="484"/>
      <c r="U311" s="484"/>
      <c r="V311" s="484"/>
      <c r="W311" s="484"/>
      <c r="X311" s="484"/>
      <c r="Y311" s="484"/>
      <c r="Z311" s="484"/>
      <c r="AA311" s="484"/>
      <c r="AB311" s="484"/>
      <c r="AC311" s="484"/>
      <c r="AD311" s="484"/>
      <c r="AE311" s="484"/>
      <c r="AF311" s="484"/>
      <c r="AG311" s="484"/>
      <c r="AH311" s="484"/>
      <c r="AI311" s="484"/>
      <c r="AJ311" s="484"/>
      <c r="AK311" s="484"/>
      <c r="AL311" s="484"/>
      <c r="AM311" s="484"/>
      <c r="AN311" s="484"/>
      <c r="AO311" s="484"/>
    </row>
    <row r="312" spans="1:41" x14ac:dyDescent="0.35">
      <c r="A312" s="484"/>
      <c r="B312" s="484"/>
      <c r="C312" s="484"/>
      <c r="D312" s="484"/>
      <c r="E312" s="484"/>
      <c r="F312" s="484"/>
      <c r="G312" s="484"/>
      <c r="H312" s="484"/>
      <c r="I312" s="484"/>
      <c r="J312" s="484"/>
      <c r="K312" s="484"/>
      <c r="L312" s="484"/>
      <c r="M312" s="484"/>
      <c r="N312" s="484"/>
      <c r="O312" s="484"/>
      <c r="P312" s="484"/>
      <c r="Q312" s="484"/>
      <c r="R312" s="484"/>
      <c r="S312" s="484"/>
      <c r="T312" s="484"/>
      <c r="U312" s="484"/>
      <c r="V312" s="484"/>
      <c r="W312" s="484"/>
      <c r="X312" s="484"/>
      <c r="Y312" s="484"/>
      <c r="Z312" s="484"/>
      <c r="AA312" s="484"/>
      <c r="AB312" s="484"/>
      <c r="AC312" s="484"/>
      <c r="AD312" s="484"/>
      <c r="AE312" s="484"/>
      <c r="AF312" s="484"/>
      <c r="AG312" s="484"/>
      <c r="AH312" s="484"/>
      <c r="AI312" s="484"/>
      <c r="AJ312" s="484"/>
      <c r="AK312" s="484"/>
      <c r="AL312" s="484"/>
      <c r="AM312" s="484"/>
      <c r="AN312" s="484"/>
      <c r="AO312" s="484"/>
    </row>
    <row r="313" spans="1:41" x14ac:dyDescent="0.35">
      <c r="A313" s="484"/>
      <c r="B313" s="484"/>
      <c r="C313" s="484"/>
      <c r="D313" s="484"/>
      <c r="E313" s="484"/>
      <c r="F313" s="484"/>
      <c r="G313" s="484"/>
      <c r="H313" s="484"/>
      <c r="I313" s="484"/>
      <c r="J313" s="484"/>
      <c r="K313" s="484"/>
      <c r="L313" s="484"/>
      <c r="M313" s="484"/>
      <c r="N313" s="484"/>
      <c r="O313" s="484"/>
      <c r="P313" s="484"/>
      <c r="Q313" s="484"/>
      <c r="R313" s="484"/>
      <c r="S313" s="484"/>
      <c r="T313" s="484"/>
      <c r="U313" s="484"/>
      <c r="V313" s="484"/>
      <c r="W313" s="484"/>
      <c r="X313" s="484"/>
      <c r="Y313" s="484"/>
      <c r="Z313" s="484"/>
      <c r="AA313" s="484"/>
      <c r="AB313" s="484"/>
      <c r="AC313" s="484"/>
      <c r="AD313" s="484"/>
      <c r="AE313" s="484"/>
      <c r="AF313" s="484"/>
      <c r="AG313" s="484"/>
      <c r="AH313" s="484"/>
      <c r="AI313" s="484"/>
      <c r="AJ313" s="484"/>
      <c r="AK313" s="484"/>
      <c r="AL313" s="484"/>
      <c r="AM313" s="484"/>
      <c r="AN313" s="484"/>
      <c r="AO313" s="484"/>
    </row>
    <row r="314" spans="1:41" x14ac:dyDescent="0.35">
      <c r="A314" s="484"/>
      <c r="B314" s="484"/>
      <c r="C314" s="484"/>
      <c r="D314" s="484"/>
      <c r="E314" s="484"/>
      <c r="F314" s="484"/>
      <c r="G314" s="484"/>
      <c r="H314" s="484"/>
      <c r="I314" s="484"/>
      <c r="J314" s="484"/>
      <c r="K314" s="484"/>
      <c r="L314" s="484"/>
      <c r="M314" s="484"/>
      <c r="N314" s="484"/>
      <c r="O314" s="484"/>
      <c r="P314" s="484"/>
      <c r="Q314" s="484"/>
      <c r="R314" s="484"/>
      <c r="S314" s="484"/>
      <c r="T314" s="484"/>
      <c r="U314" s="484"/>
      <c r="V314" s="484"/>
      <c r="W314" s="484"/>
      <c r="X314" s="484"/>
      <c r="Y314" s="484"/>
      <c r="Z314" s="484"/>
      <c r="AA314" s="484"/>
      <c r="AB314" s="484"/>
      <c r="AC314" s="484"/>
      <c r="AD314" s="484"/>
      <c r="AE314" s="484"/>
      <c r="AF314" s="484"/>
      <c r="AG314" s="484"/>
      <c r="AH314" s="484"/>
      <c r="AI314" s="484"/>
      <c r="AJ314" s="484"/>
      <c r="AK314" s="484"/>
      <c r="AL314" s="484"/>
      <c r="AM314" s="484"/>
      <c r="AN314" s="484"/>
      <c r="AO314" s="484"/>
    </row>
    <row r="315" spans="1:41" x14ac:dyDescent="0.35">
      <c r="A315" s="484"/>
      <c r="B315" s="484"/>
      <c r="C315" s="484"/>
      <c r="D315" s="484"/>
      <c r="E315" s="484"/>
      <c r="F315" s="484"/>
      <c r="G315" s="484"/>
      <c r="H315" s="484"/>
      <c r="I315" s="484"/>
      <c r="J315" s="484"/>
      <c r="K315" s="484"/>
      <c r="L315" s="484"/>
      <c r="M315" s="484"/>
      <c r="N315" s="484"/>
      <c r="O315" s="484"/>
      <c r="P315" s="484"/>
      <c r="Q315" s="484"/>
      <c r="R315" s="484"/>
      <c r="S315" s="484"/>
      <c r="T315" s="484"/>
      <c r="U315" s="484"/>
      <c r="V315" s="484"/>
      <c r="W315" s="484"/>
      <c r="X315" s="484"/>
      <c r="Y315" s="484"/>
      <c r="Z315" s="484"/>
      <c r="AA315" s="484"/>
      <c r="AB315" s="484"/>
      <c r="AC315" s="484"/>
      <c r="AD315" s="484"/>
      <c r="AE315" s="484"/>
      <c r="AF315" s="484"/>
      <c r="AG315" s="484"/>
      <c r="AH315" s="484"/>
      <c r="AI315" s="484"/>
      <c r="AJ315" s="484"/>
      <c r="AK315" s="484"/>
      <c r="AL315" s="484"/>
      <c r="AM315" s="484"/>
      <c r="AN315" s="484"/>
      <c r="AO315" s="484"/>
    </row>
    <row r="316" spans="1:41" x14ac:dyDescent="0.35">
      <c r="A316" s="484"/>
      <c r="B316" s="484"/>
      <c r="C316" s="484"/>
      <c r="D316" s="484"/>
      <c r="E316" s="484"/>
      <c r="F316" s="484"/>
      <c r="G316" s="484"/>
      <c r="H316" s="484"/>
      <c r="I316" s="484"/>
      <c r="J316" s="484"/>
      <c r="K316" s="484"/>
      <c r="L316" s="484"/>
      <c r="M316" s="484"/>
      <c r="N316" s="484"/>
      <c r="O316" s="484"/>
      <c r="P316" s="484"/>
      <c r="Q316" s="484"/>
      <c r="R316" s="484"/>
      <c r="S316" s="484"/>
      <c r="T316" s="484"/>
      <c r="U316" s="484"/>
      <c r="V316" s="484"/>
      <c r="W316" s="484"/>
      <c r="X316" s="484"/>
      <c r="Y316" s="484"/>
      <c r="Z316" s="484"/>
      <c r="AA316" s="484"/>
      <c r="AB316" s="484"/>
      <c r="AC316" s="484"/>
      <c r="AD316" s="484"/>
      <c r="AE316" s="484"/>
      <c r="AF316" s="484"/>
      <c r="AG316" s="484"/>
      <c r="AH316" s="484"/>
      <c r="AI316" s="484"/>
      <c r="AJ316" s="484"/>
      <c r="AK316" s="484"/>
      <c r="AL316" s="484"/>
      <c r="AM316" s="484"/>
      <c r="AN316" s="484"/>
      <c r="AO316" s="484"/>
    </row>
    <row r="317" spans="1:41" x14ac:dyDescent="0.35">
      <c r="A317" s="484"/>
      <c r="B317" s="484"/>
      <c r="C317" s="484"/>
      <c r="D317" s="484"/>
      <c r="E317" s="484"/>
      <c r="F317" s="484"/>
      <c r="G317" s="484"/>
      <c r="H317" s="484"/>
      <c r="I317" s="484"/>
      <c r="J317" s="484"/>
      <c r="K317" s="484"/>
      <c r="L317" s="484"/>
      <c r="M317" s="484"/>
      <c r="N317" s="484"/>
      <c r="O317" s="484"/>
      <c r="P317" s="484"/>
      <c r="Q317" s="484"/>
      <c r="R317" s="484"/>
      <c r="S317" s="484"/>
      <c r="T317" s="484"/>
      <c r="U317" s="484"/>
      <c r="V317" s="484"/>
      <c r="W317" s="484"/>
      <c r="X317" s="484"/>
      <c r="Y317" s="484"/>
      <c r="Z317" s="484"/>
      <c r="AA317" s="484"/>
      <c r="AB317" s="484"/>
      <c r="AC317" s="484"/>
      <c r="AD317" s="484"/>
      <c r="AE317" s="484"/>
      <c r="AF317" s="484"/>
      <c r="AG317" s="484"/>
      <c r="AH317" s="484"/>
      <c r="AI317" s="484"/>
      <c r="AJ317" s="484"/>
      <c r="AK317" s="484"/>
      <c r="AL317" s="484"/>
      <c r="AM317" s="484"/>
      <c r="AN317" s="484"/>
      <c r="AO317" s="484"/>
    </row>
  </sheetData>
  <sheetProtection algorithmName="SHA-512" hashValue="Q4G1nvZC8D8fYZevNJ2hX4swqRAhso/dMglvKGFLNkzXYrpXtK8LofGidS7jKDre2+w8k1tVnPKYH8QgyYTUoQ==" saltValue="iD0+A2x8QbR8WjcYDQjSow==" spinCount="100000" sheet="1" objects="1" scenarios="1"/>
  <mergeCells count="52">
    <mergeCell ref="U39:V42"/>
    <mergeCell ref="L24:L25"/>
    <mergeCell ref="L57:L58"/>
    <mergeCell ref="B4:B8"/>
    <mergeCell ref="D3:K3"/>
    <mergeCell ref="D4:P4"/>
    <mergeCell ref="J13:L13"/>
    <mergeCell ref="J14:L14"/>
    <mergeCell ref="H57:H58"/>
    <mergeCell ref="J18:L18"/>
    <mergeCell ref="J19:L19"/>
    <mergeCell ref="J20:L20"/>
    <mergeCell ref="M23:O23"/>
    <mergeCell ref="G23:K23"/>
    <mergeCell ref="J17:L17"/>
    <mergeCell ref="U4:V8"/>
    <mergeCell ref="R4:S8"/>
    <mergeCell ref="B120:B128"/>
    <mergeCell ref="D120:P120"/>
    <mergeCell ref="E122:O127"/>
    <mergeCell ref="B112:B118"/>
    <mergeCell ref="I57:I58"/>
    <mergeCell ref="J57:J58"/>
    <mergeCell ref="K57:K58"/>
    <mergeCell ref="B86:B110"/>
    <mergeCell ref="D86:P86"/>
    <mergeCell ref="G57:G58"/>
    <mergeCell ref="B47:B51"/>
    <mergeCell ref="B53:B70"/>
    <mergeCell ref="B71:B75"/>
    <mergeCell ref="B11:B45"/>
    <mergeCell ref="U12:V12"/>
    <mergeCell ref="R11:S12"/>
    <mergeCell ref="D11:P11"/>
    <mergeCell ref="N57:N58"/>
    <mergeCell ref="R45:S49"/>
    <mergeCell ref="M57:M58"/>
    <mergeCell ref="D53:P53"/>
    <mergeCell ref="G56:K56"/>
    <mergeCell ref="M56:N56"/>
    <mergeCell ref="G24:G25"/>
    <mergeCell ref="H24:H25"/>
    <mergeCell ref="I24:I25"/>
    <mergeCell ref="J24:J25"/>
    <mergeCell ref="K24:K25"/>
    <mergeCell ref="M24:N24"/>
    <mergeCell ref="O24:O25"/>
    <mergeCell ref="U117:V118"/>
    <mergeCell ref="U113:V114"/>
    <mergeCell ref="R86:S88"/>
    <mergeCell ref="R113:S115"/>
    <mergeCell ref="R117:S118"/>
  </mergeCells>
  <phoneticPr fontId="39" type="noConversion"/>
  <conditionalFormatting sqref="B47 M47:O47 B71 G80:K80 M80:N80">
    <cfRule type="expression" dxfId="8" priority="4">
      <formula>$G$47=0</formula>
    </cfRule>
  </conditionalFormatting>
  <conditionalFormatting sqref="J17 M17:O17">
    <cfRule type="expression" dxfId="7" priority="12">
      <formula>$J$17=""</formula>
    </cfRule>
  </conditionalFormatting>
  <conditionalFormatting sqref="J18 M18:O18">
    <cfRule type="expression" dxfId="6" priority="7">
      <formula>$J$18=""</formula>
    </cfRule>
  </conditionalFormatting>
  <conditionalFormatting sqref="J19 M19:O19">
    <cfRule type="expression" dxfId="5" priority="8">
      <formula>IF(AND($J$17="Yes",$J$19=""),1,0)</formula>
    </cfRule>
  </conditionalFormatting>
  <conditionalFormatting sqref="J19">
    <cfRule type="expression" dxfId="4" priority="6">
      <formula>$J$17="No"</formula>
    </cfRule>
  </conditionalFormatting>
  <conditionalFormatting sqref="J20 M20:O20">
    <cfRule type="expression" dxfId="3" priority="93">
      <formula>IF(AND($J$18="Yes",$J$20=""),1,0)</formula>
    </cfRule>
  </conditionalFormatting>
  <conditionalFormatting sqref="N30:N51 N26:N27">
    <cfRule type="expression" dxfId="2" priority="91">
      <formula>$J$19="Gross Metered"</formula>
    </cfRule>
  </conditionalFormatting>
  <conditionalFormatting sqref="O47:O48 J20 O26:O27 O30:O41 O43:O45 O50">
    <cfRule type="expression" dxfId="1" priority="5">
      <formula>$J$18="No"</formula>
    </cfRule>
  </conditionalFormatting>
  <dataValidations disablePrompts="1" count="16">
    <dataValidation type="list" allowBlank="1" showInputMessage="1" showErrorMessage="1" sqref="P31:P33 P64:P66" xr:uid="{02E0C22C-12BB-4D54-9C58-05D04FA374A3}">
      <formula1>"kWh,kBtu"</formula1>
    </dataValidation>
    <dataValidation type="custom" errorStyle="information" allowBlank="1" showInputMessage="1" showErrorMessage="1" error="Entry not required for projects with GROSS METERING. " prompt="For GROSS METERED projects, entry is only required for &quot;Total from Grid&quot; and &quot;Total Production&quot;._x000a_For NET METERED projects, on-site generated AND consumed electricity will be factored in the measured energy summary." sqref="N42" xr:uid="{DB3DDC8B-AD74-48E8-A0DA-64096F3536DB}">
      <formula1>IF($G$3="Net Metered",1,0)</formula1>
    </dataValidation>
    <dataValidation type="list" allowBlank="1" showErrorMessage="1" sqref="L27 L60" xr:uid="{B79A4407-B4E2-4279-80A7-7451BF1AF6FB}">
      <formula1>"kBtu,MBtu,GJ"</formula1>
    </dataValidation>
    <dataValidation type="list" allowBlank="1" showErrorMessage="1" sqref="M27:O27 M60:N60" xr:uid="{2E0D8886-285F-41A9-987D-F78DBEC65243}">
      <formula1>"kWh"</formula1>
    </dataValidation>
    <dataValidation type="list" allowBlank="1" showErrorMessage="1" sqref="I27 I60" xr:uid="{3BD9300C-5FBC-44D8-BFF7-F926F1FA44C2}">
      <formula1>"kBtu,MBtu,Ton Hours,GJ"</formula1>
    </dataValidation>
    <dataValidation type="list" allowBlank="1" showErrorMessage="1" sqref="G27 G60" xr:uid="{981C74FA-25BF-428C-8930-9CA4E9B23E02}">
      <formula1>"kWh,kBtu"</formula1>
    </dataValidation>
    <dataValidation type="list" allowBlank="1" showErrorMessage="1" sqref="H27 H60" xr:uid="{F7C3B6FA-7CBD-4263-80A4-1D1819F505A5}">
      <formula1>"kBtu,MBtu,cf,ccf,kcf,Therms,Cubic Meters"</formula1>
    </dataValidation>
    <dataValidation type="list" allowBlank="1" showErrorMessage="1" sqref="J27 J60" xr:uid="{4C90A896-A052-4CE8-B6C2-0A8ABA09A8A4}">
      <formula1>"kBtu,MBtu,GJ,Lbs,kLbs,MLbs,Therms,kg"</formula1>
    </dataValidation>
    <dataValidation type="list" allowBlank="1" showInputMessage="1" showErrorMessage="1" sqref="J19" xr:uid="{EB0A2970-C6CF-493A-954B-2CC40412C6B3}">
      <formula1>"Net Metered,Gross Metered"</formula1>
    </dataValidation>
    <dataValidation type="list" allowBlank="1" showInputMessage="1" showErrorMessage="1" sqref="J17:J18" xr:uid="{3A489699-AB37-4312-B9C1-2E67C73E4D10}">
      <formula1>"Yes, No"</formula1>
    </dataValidation>
    <dataValidation type="list" showInputMessage="1" showErrorMessage="1" sqref="J13:J14" xr:uid="{3EC436B1-12E2-4A9D-8DDF-5F1DC549A240}">
      <formula1>"Yes,No"</formula1>
    </dataValidation>
    <dataValidation type="list" allowBlank="1" showInputMessage="1" showErrorMessage="1" sqref="J20" xr:uid="{320622A2-F261-4C0B-A0DD-D804E3008134}">
      <formula1>Off_Site_Procurement_Factor_Options</formula1>
    </dataValidation>
    <dataValidation type="list" allowBlank="1" showInputMessage="1" showErrorMessage="1" sqref="G24:K25 G57:K58" xr:uid="{7D2C7CB6-0405-46F3-8D43-5A7E6D5A6EAF}">
      <formula1>Fuel_Source_Carbon_Headers</formula1>
    </dataValidation>
    <dataValidation type="list" allowBlank="1" showErrorMessage="1" sqref="K27 K60" xr:uid="{85CB8644-4F90-445A-B8CB-D8CE43977F85}">
      <formula1>Conversion_to_kBtu_Options</formula1>
    </dataValidation>
    <dataValidation type="decimal" allowBlank="1" showInputMessage="1" showErrorMessage="1" error="Numerical input as decimal or whole number only. " sqref="G30:K41 M30:M41 O30:O41" xr:uid="{18500021-7BB9-4922-8F9A-EDDA133A3C11}">
      <formula1>0</formula1>
      <formula2>1000000000</formula2>
    </dataValidation>
    <dataValidation type="custom" allowBlank="1" showInputMessage="1" showErrorMessage="1" error="Entry not required for projects with GROSS METERING. " prompt="For GROSS METERED projects, entry is only required for &quot;Total from Grid&quot; and &quot;Total Production&quot;._x000a_For NET METERED projects, on-site generated AND consumed electricity will be factored in the measured energy summary." sqref="N30:N41" xr:uid="{05834BB4-B042-4A24-B309-4E070CC1E6F7}">
      <formula1>IF($J$19="Gross Metered",0,1)</formula1>
    </dataValidation>
  </dataValidations>
  <hyperlinks>
    <hyperlink ref="U14" r:id="rId1" location="table_data" display="EIA - Biofuel Monthly Cost Data" xr:uid="{7F49EECF-F0E4-4D79-A4FD-84FF4BD4E26A}"/>
  </hyperlinks>
  <pageMargins left="0.7" right="0.7" top="0.75" bottom="0.75" header="0" footer="0"/>
  <pageSetup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outlinePr summaryBelow="0" summaryRight="0"/>
  </sheetPr>
  <dimension ref="A1:AN296"/>
  <sheetViews>
    <sheetView zoomScaleNormal="100" workbookViewId="0">
      <selection activeCell="E2" sqref="E2"/>
    </sheetView>
  </sheetViews>
  <sheetFormatPr defaultColWidth="14.453125" defaultRowHeight="14.5" x14ac:dyDescent="0.35"/>
  <cols>
    <col min="1" max="1" width="4.08984375" customWidth="1"/>
    <col min="2" max="2" width="44.6328125" customWidth="1"/>
    <col min="3" max="3" width="3.36328125" customWidth="1"/>
    <col min="4" max="4" width="3.36328125" style="743" customWidth="1"/>
    <col min="5" max="5" width="62.6328125" style="743" customWidth="1"/>
    <col min="6" max="6" width="16.6328125" style="804" customWidth="1"/>
    <col min="7" max="7" width="12.6328125" style="743" customWidth="1"/>
    <col min="8" max="8" width="3.36328125" style="743" customWidth="1"/>
    <col min="9" max="9" width="3.36328125" customWidth="1"/>
    <col min="10" max="10" width="30.08984375" customWidth="1"/>
    <col min="11" max="13" width="6.54296875" customWidth="1"/>
    <col min="14" max="14" width="6.54296875" style="688" customWidth="1"/>
    <col min="15" max="15" width="2.453125" customWidth="1"/>
    <col min="16" max="18" width="12.6328125" customWidth="1"/>
    <col min="19" max="19" width="5" customWidth="1"/>
  </cols>
  <sheetData>
    <row r="1" spans="1:36" ht="21" x14ac:dyDescent="0.35">
      <c r="A1" s="343"/>
      <c r="B1" s="343" t="s">
        <v>785</v>
      </c>
      <c r="C1" s="343"/>
      <c r="D1" s="805"/>
      <c r="E1" s="807"/>
      <c r="F1" s="806"/>
      <c r="G1" s="807"/>
      <c r="H1" s="807"/>
      <c r="I1" s="1080"/>
      <c r="J1" s="1080"/>
      <c r="K1" s="1080"/>
      <c r="L1" s="1080"/>
      <c r="M1" s="1080"/>
      <c r="N1" s="1276"/>
      <c r="O1" s="1080"/>
      <c r="P1" s="1080"/>
      <c r="Q1" s="1080"/>
      <c r="R1" s="1080"/>
      <c r="S1" s="1080"/>
      <c r="T1" s="484"/>
      <c r="U1" s="484"/>
      <c r="V1" s="484"/>
      <c r="W1" s="484"/>
      <c r="X1" s="484"/>
      <c r="Y1" s="484"/>
      <c r="Z1" s="484"/>
      <c r="AA1" s="484"/>
      <c r="AB1" s="484"/>
      <c r="AC1" s="484"/>
      <c r="AD1" s="484"/>
      <c r="AE1" s="484"/>
      <c r="AF1" s="484"/>
      <c r="AG1" s="484"/>
      <c r="AH1" s="484"/>
      <c r="AI1" s="484"/>
      <c r="AJ1" s="484"/>
    </row>
    <row r="2" spans="1:36" x14ac:dyDescent="0.35">
      <c r="A2" s="484"/>
      <c r="B2" s="484"/>
      <c r="C2" s="484"/>
      <c r="D2" s="1"/>
      <c r="E2" s="1"/>
      <c r="F2" s="744"/>
      <c r="G2" s="1"/>
      <c r="H2" s="1"/>
      <c r="I2" s="484"/>
      <c r="J2" s="484"/>
      <c r="K2" s="484"/>
      <c r="L2" s="484"/>
      <c r="M2" s="484"/>
      <c r="N2" s="1277"/>
      <c r="O2" s="484"/>
      <c r="P2" s="484"/>
      <c r="Q2" s="484"/>
      <c r="R2" s="484"/>
      <c r="S2" s="484"/>
      <c r="T2" s="484"/>
      <c r="U2" s="484"/>
      <c r="V2" s="484"/>
      <c r="W2" s="484"/>
      <c r="X2" s="484"/>
      <c r="Y2" s="484"/>
      <c r="Z2" s="484"/>
      <c r="AA2" s="484"/>
      <c r="AB2" s="484"/>
      <c r="AC2" s="484"/>
      <c r="AD2" s="484"/>
      <c r="AE2" s="484"/>
      <c r="AF2" s="484"/>
      <c r="AG2" s="484"/>
      <c r="AH2" s="484"/>
      <c r="AI2" s="484"/>
      <c r="AJ2" s="484"/>
    </row>
    <row r="3" spans="1:36" s="694" customFormat="1" ht="15" thickBot="1" x14ac:dyDescent="0.4">
      <c r="A3" s="693"/>
      <c r="B3" s="493" t="s">
        <v>71</v>
      </c>
      <c r="C3" s="1114"/>
      <c r="D3" s="1505" t="s">
        <v>683</v>
      </c>
      <c r="E3" s="1506"/>
      <c r="F3" s="1507"/>
      <c r="G3" s="1508"/>
      <c r="H3" s="745"/>
      <c r="I3" s="693"/>
      <c r="J3" s="493" t="s">
        <v>118</v>
      </c>
      <c r="K3" s="493"/>
      <c r="L3" s="493"/>
      <c r="M3" s="493"/>
      <c r="N3" s="1278"/>
      <c r="O3" s="493"/>
      <c r="P3" s="493" t="s">
        <v>119</v>
      </c>
      <c r="Q3" s="693"/>
      <c r="R3" s="693"/>
      <c r="S3" s="693"/>
      <c r="T3" s="693"/>
      <c r="U3" s="693"/>
      <c r="V3" s="693"/>
      <c r="W3" s="693"/>
      <c r="X3" s="693"/>
      <c r="Y3" s="693"/>
      <c r="Z3" s="693"/>
      <c r="AA3" s="693"/>
      <c r="AB3" s="693"/>
      <c r="AC3" s="693"/>
      <c r="AD3" s="693"/>
      <c r="AE3" s="693"/>
      <c r="AF3" s="693"/>
      <c r="AG3" s="693"/>
      <c r="AH3" s="693"/>
      <c r="AI3" s="693"/>
      <c r="AJ3" s="693"/>
    </row>
    <row r="4" spans="1:36" s="632" customFormat="1" x14ac:dyDescent="0.35">
      <c r="A4" s="484"/>
      <c r="B4" s="1622" t="s">
        <v>795</v>
      </c>
      <c r="C4" s="1"/>
      <c r="D4" s="1642" t="s">
        <v>794</v>
      </c>
      <c r="E4" s="1643"/>
      <c r="F4" s="1643"/>
      <c r="G4" s="1643"/>
      <c r="H4" s="1644"/>
      <c r="I4" s="1"/>
      <c r="J4" s="749"/>
      <c r="K4" s="749"/>
      <c r="L4" s="1279"/>
      <c r="M4" s="749"/>
      <c r="N4" s="1280"/>
      <c r="O4" s="1"/>
      <c r="P4" s="1088"/>
      <c r="Q4" s="1088"/>
      <c r="R4" s="1088"/>
      <c r="S4" s="484"/>
      <c r="T4" s="484"/>
      <c r="U4" s="484"/>
      <c r="V4" s="484"/>
      <c r="W4" s="484"/>
      <c r="X4" s="484"/>
      <c r="Y4" s="484"/>
      <c r="Z4" s="484"/>
      <c r="AA4" s="484"/>
      <c r="AB4" s="484"/>
      <c r="AC4" s="484"/>
      <c r="AD4" s="484"/>
      <c r="AE4" s="484"/>
      <c r="AF4" s="484"/>
      <c r="AG4" s="484"/>
      <c r="AH4" s="484"/>
      <c r="AI4" s="484"/>
      <c r="AJ4" s="484"/>
    </row>
    <row r="5" spans="1:36" x14ac:dyDescent="0.35">
      <c r="A5" s="484"/>
      <c r="B5" s="1708"/>
      <c r="C5" s="1"/>
      <c r="D5" s="843"/>
      <c r="E5" s="809"/>
      <c r="F5" s="810"/>
      <c r="G5" s="906"/>
      <c r="H5" s="823"/>
      <c r="I5" s="1"/>
      <c r="J5" s="785"/>
      <c r="K5" s="785" t="s">
        <v>373</v>
      </c>
      <c r="L5" s="1281" t="s">
        <v>374</v>
      </c>
      <c r="M5" s="1281" t="s">
        <v>375</v>
      </c>
      <c r="N5" s="1280"/>
      <c r="O5" s="1"/>
      <c r="P5" s="1088"/>
      <c r="Q5" s="1088"/>
      <c r="R5" s="1088"/>
      <c r="S5" s="484"/>
      <c r="T5" s="484"/>
      <c r="U5" s="484"/>
      <c r="V5" s="484"/>
      <c r="W5" s="484"/>
      <c r="X5" s="484"/>
      <c r="Y5" s="484"/>
      <c r="Z5" s="484"/>
      <c r="AA5" s="484"/>
      <c r="AB5" s="484"/>
      <c r="AC5" s="484"/>
      <c r="AD5" s="484"/>
      <c r="AE5" s="484"/>
      <c r="AF5" s="484"/>
      <c r="AG5" s="484"/>
      <c r="AH5" s="484"/>
      <c r="AI5" s="484"/>
      <c r="AJ5" s="484"/>
    </row>
    <row r="6" spans="1:36" x14ac:dyDescent="0.35">
      <c r="A6" s="484"/>
      <c r="B6" s="1708"/>
      <c r="C6" s="1"/>
      <c r="D6" s="847"/>
      <c r="E6" s="344" t="s">
        <v>376</v>
      </c>
      <c r="F6" s="760">
        <f>Regularly_Occupied_Space</f>
        <v>0</v>
      </c>
      <c r="G6" s="345" t="s">
        <v>22</v>
      </c>
      <c r="H6" s="813"/>
      <c r="I6" s="1"/>
      <c r="J6" s="751" t="s">
        <v>377</v>
      </c>
      <c r="K6" s="1282" t="s">
        <v>378</v>
      </c>
      <c r="L6" s="1282" t="s">
        <v>379</v>
      </c>
      <c r="M6" s="1282" t="s">
        <v>380</v>
      </c>
      <c r="N6" s="1280"/>
      <c r="O6" s="1"/>
      <c r="P6" s="1088"/>
      <c r="Q6" s="1088"/>
      <c r="R6" s="1088"/>
      <c r="S6" s="484"/>
      <c r="T6" s="484"/>
      <c r="U6" s="484"/>
      <c r="V6" s="484"/>
      <c r="W6" s="484"/>
      <c r="X6" s="484"/>
      <c r="Y6" s="484"/>
      <c r="Z6" s="484"/>
      <c r="AA6" s="484"/>
      <c r="AB6" s="484"/>
      <c r="AC6" s="484"/>
      <c r="AD6" s="484"/>
      <c r="AE6" s="484"/>
      <c r="AF6" s="484"/>
      <c r="AG6" s="484"/>
      <c r="AH6" s="484"/>
      <c r="AI6" s="484"/>
      <c r="AJ6" s="484"/>
    </row>
    <row r="7" spans="1:36" x14ac:dyDescent="0.35">
      <c r="A7" s="484"/>
      <c r="B7" s="1708"/>
      <c r="C7" s="1"/>
      <c r="D7" s="847"/>
      <c r="E7" s="344" t="s">
        <v>381</v>
      </c>
      <c r="F7" s="1283" t="str">
        <f>IFERROR(Regularly_Occupied_Space/Area_Building,"")</f>
        <v/>
      </c>
      <c r="G7" s="345"/>
      <c r="H7" s="813"/>
      <c r="I7" s="1"/>
      <c r="J7" s="751" t="s">
        <v>163</v>
      </c>
      <c r="K7" s="1282" t="s">
        <v>382</v>
      </c>
      <c r="L7" s="1282" t="s">
        <v>378</v>
      </c>
      <c r="M7" s="1282" t="s">
        <v>383</v>
      </c>
      <c r="N7" s="1280"/>
      <c r="O7" s="1"/>
      <c r="P7" s="1088"/>
      <c r="Q7" s="1088"/>
      <c r="R7" s="1088"/>
      <c r="S7" s="484"/>
      <c r="T7" s="484"/>
      <c r="U7" s="484"/>
      <c r="V7" s="484"/>
      <c r="W7" s="484"/>
      <c r="X7" s="484"/>
      <c r="Y7" s="484"/>
      <c r="Z7" s="484"/>
      <c r="AA7" s="484"/>
      <c r="AB7" s="484"/>
      <c r="AC7" s="484"/>
      <c r="AD7" s="484"/>
      <c r="AE7" s="484"/>
      <c r="AF7" s="484"/>
      <c r="AG7" s="484"/>
      <c r="AH7" s="484"/>
      <c r="AI7" s="484"/>
      <c r="AJ7" s="484"/>
    </row>
    <row r="8" spans="1:36" x14ac:dyDescent="0.35">
      <c r="A8" s="484"/>
      <c r="B8" s="1708"/>
      <c r="C8" s="1"/>
      <c r="D8" s="847"/>
      <c r="E8" s="850"/>
      <c r="F8" s="1339"/>
      <c r="G8" s="850"/>
      <c r="H8" s="813"/>
      <c r="I8" s="1"/>
      <c r="J8" s="751" t="s">
        <v>173</v>
      </c>
      <c r="K8" s="1284">
        <v>1</v>
      </c>
      <c r="L8" s="1282" t="s">
        <v>385</v>
      </c>
      <c r="M8" s="1284" t="s">
        <v>386</v>
      </c>
      <c r="N8" s="1280"/>
      <c r="O8" s="1"/>
      <c r="P8" s="1088"/>
      <c r="Q8" s="1088"/>
      <c r="R8" s="1088"/>
      <c r="S8" s="484"/>
      <c r="T8" s="484"/>
      <c r="U8" s="484"/>
      <c r="V8" s="484"/>
      <c r="W8" s="484"/>
      <c r="X8" s="484"/>
      <c r="Y8" s="484"/>
      <c r="Z8" s="484"/>
      <c r="AA8" s="484"/>
      <c r="AB8" s="484"/>
      <c r="AC8" s="484"/>
      <c r="AD8" s="484"/>
      <c r="AE8" s="484"/>
      <c r="AF8" s="484"/>
      <c r="AG8" s="484"/>
      <c r="AH8" s="484"/>
      <c r="AI8" s="484"/>
      <c r="AJ8" s="484"/>
    </row>
    <row r="9" spans="1:36" x14ac:dyDescent="0.35">
      <c r="A9" s="484"/>
      <c r="B9" s="1708"/>
      <c r="C9" s="1"/>
      <c r="D9" s="847"/>
      <c r="E9" s="344" t="s">
        <v>1163</v>
      </c>
      <c r="F9" s="347"/>
      <c r="G9" s="1285" t="s">
        <v>687</v>
      </c>
      <c r="H9" s="813"/>
      <c r="I9" s="1"/>
      <c r="J9" s="751"/>
      <c r="K9" s="1284"/>
      <c r="L9" s="1284"/>
      <c r="M9" s="1282"/>
      <c r="N9" s="1280"/>
      <c r="O9" s="1"/>
      <c r="P9" s="1088"/>
      <c r="Q9" s="1088"/>
      <c r="R9" s="1088"/>
      <c r="S9" s="484"/>
      <c r="T9" s="484"/>
      <c r="U9" s="484"/>
      <c r="V9" s="484"/>
      <c r="W9" s="484"/>
      <c r="X9" s="484"/>
      <c r="Y9" s="484"/>
      <c r="Z9" s="484"/>
      <c r="AA9" s="484"/>
      <c r="AB9" s="484"/>
      <c r="AC9" s="484"/>
      <c r="AD9" s="484"/>
      <c r="AE9" s="484"/>
      <c r="AF9" s="484"/>
      <c r="AG9" s="484"/>
      <c r="AH9" s="484"/>
      <c r="AI9" s="484"/>
      <c r="AJ9" s="484"/>
    </row>
    <row r="10" spans="1:36" x14ac:dyDescent="0.35">
      <c r="A10" s="484"/>
      <c r="B10" s="1708"/>
      <c r="C10" s="1"/>
      <c r="D10" s="847"/>
      <c r="E10" s="850"/>
      <c r="F10" s="1339"/>
      <c r="G10" s="850"/>
      <c r="H10" s="813"/>
      <c r="I10" s="1"/>
      <c r="J10" s="751"/>
      <c r="K10" s="1284"/>
      <c r="L10" s="1284"/>
      <c r="M10" s="1282"/>
      <c r="N10" s="1284"/>
      <c r="O10" s="1"/>
      <c r="P10" s="1088"/>
      <c r="Q10" s="1088"/>
      <c r="R10" s="1088"/>
      <c r="S10" s="484"/>
      <c r="T10" s="484"/>
      <c r="U10" s="484"/>
      <c r="V10" s="484"/>
      <c r="W10" s="484"/>
      <c r="X10" s="484"/>
      <c r="Y10" s="484"/>
      <c r="Z10" s="484"/>
      <c r="AA10" s="484"/>
      <c r="AB10" s="484"/>
      <c r="AC10" s="484"/>
      <c r="AD10" s="484"/>
      <c r="AE10" s="484"/>
      <c r="AF10" s="484"/>
      <c r="AG10" s="484"/>
      <c r="AH10" s="484"/>
      <c r="AI10" s="484"/>
      <c r="AJ10" s="484"/>
    </row>
    <row r="11" spans="1:36" x14ac:dyDescent="0.35">
      <c r="A11" s="484"/>
      <c r="B11" s="1708"/>
      <c r="C11" s="1"/>
      <c r="D11" s="847"/>
      <c r="E11" s="1286" t="s">
        <v>790</v>
      </c>
      <c r="F11" s="1339"/>
      <c r="G11" s="850"/>
      <c r="H11" s="813"/>
      <c r="I11" s="1"/>
      <c r="J11" s="751"/>
      <c r="K11" s="751"/>
      <c r="L11" s="751"/>
      <c r="M11" s="751"/>
      <c r="N11" s="1282"/>
      <c r="O11" s="1"/>
      <c r="P11" s="1088"/>
      <c r="Q11" s="1088"/>
      <c r="R11" s="1088"/>
      <c r="S11" s="484"/>
      <c r="T11" s="484"/>
      <c r="U11" s="484"/>
      <c r="V11" s="484"/>
      <c r="W11" s="484"/>
      <c r="X11" s="484"/>
      <c r="Y11" s="484"/>
      <c r="Z11" s="484"/>
      <c r="AA11" s="484"/>
      <c r="AB11" s="484"/>
      <c r="AC11" s="484"/>
      <c r="AD11" s="484"/>
      <c r="AE11" s="484"/>
      <c r="AF11" s="484"/>
      <c r="AG11" s="484"/>
      <c r="AH11" s="484"/>
      <c r="AI11" s="484"/>
      <c r="AJ11" s="484"/>
    </row>
    <row r="12" spans="1:36" x14ac:dyDescent="0.35">
      <c r="A12" s="484"/>
      <c r="B12" s="1708"/>
      <c r="C12" s="1"/>
      <c r="D12" s="847"/>
      <c r="E12" s="1287" t="s">
        <v>387</v>
      </c>
      <c r="F12" s="347"/>
      <c r="G12" s="345" t="s">
        <v>22</v>
      </c>
      <c r="H12" s="813"/>
      <c r="I12" s="1"/>
      <c r="J12" s="751"/>
      <c r="K12" s="751"/>
      <c r="L12" s="751"/>
      <c r="M12" s="751"/>
      <c r="N12" s="1282"/>
      <c r="O12" s="1"/>
      <c r="P12" s="1088"/>
      <c r="Q12" s="1088"/>
      <c r="R12" s="1088"/>
      <c r="S12" s="484"/>
      <c r="T12" s="484"/>
      <c r="U12" s="484"/>
      <c r="V12" s="484"/>
      <c r="W12" s="484"/>
      <c r="X12" s="484"/>
      <c r="Y12" s="484"/>
      <c r="Z12" s="484"/>
      <c r="AA12" s="484"/>
      <c r="AB12" s="484"/>
      <c r="AC12" s="484"/>
      <c r="AD12" s="484"/>
      <c r="AE12" s="484"/>
      <c r="AF12" s="484"/>
      <c r="AG12" s="484"/>
      <c r="AH12" s="484"/>
      <c r="AI12" s="484"/>
      <c r="AJ12" s="484"/>
    </row>
    <row r="13" spans="1:36" x14ac:dyDescent="0.35">
      <c r="A13" s="484"/>
      <c r="B13" s="1708"/>
      <c r="C13" s="1"/>
      <c r="D13" s="847"/>
      <c r="E13" s="1288" t="s">
        <v>1137</v>
      </c>
      <c r="F13" s="347"/>
      <c r="G13" s="345" t="s">
        <v>22</v>
      </c>
      <c r="H13" s="813"/>
      <c r="I13" s="1"/>
      <c r="J13" s="751"/>
      <c r="K13" s="751"/>
      <c r="L13" s="751"/>
      <c r="M13" s="751"/>
      <c r="N13" s="1282"/>
      <c r="O13" s="1"/>
      <c r="P13" s="1088"/>
      <c r="Q13" s="1088"/>
      <c r="R13" s="1088"/>
      <c r="S13" s="484"/>
      <c r="T13" s="484"/>
      <c r="U13" s="484"/>
      <c r="V13" s="484"/>
      <c r="W13" s="484"/>
      <c r="X13" s="484"/>
      <c r="Y13" s="484"/>
      <c r="Z13" s="484"/>
      <c r="AA13" s="484"/>
      <c r="AB13" s="484"/>
      <c r="AC13" s="484"/>
      <c r="AD13" s="484"/>
      <c r="AE13" s="484"/>
      <c r="AF13" s="484"/>
      <c r="AG13" s="484"/>
      <c r="AH13" s="484"/>
      <c r="AI13" s="484"/>
      <c r="AJ13" s="484"/>
    </row>
    <row r="14" spans="1:36" ht="15" thickBot="1" x14ac:dyDescent="0.4">
      <c r="A14" s="484"/>
      <c r="B14" s="1708"/>
      <c r="C14" s="1"/>
      <c r="D14" s="847"/>
      <c r="E14" s="344" t="s">
        <v>1063</v>
      </c>
      <c r="F14" s="361"/>
      <c r="G14" s="1285" t="s">
        <v>687</v>
      </c>
      <c r="H14" s="813"/>
      <c r="I14" s="1"/>
      <c r="J14" s="751"/>
      <c r="K14" s="751"/>
      <c r="L14" s="751"/>
      <c r="M14" s="751"/>
      <c r="N14" s="1282"/>
      <c r="O14" s="1"/>
      <c r="P14" s="1088"/>
      <c r="Q14" s="1088"/>
      <c r="R14" s="1088"/>
      <c r="S14" s="484"/>
      <c r="T14" s="484"/>
      <c r="U14" s="484"/>
      <c r="V14" s="484"/>
      <c r="W14" s="484"/>
      <c r="X14" s="484"/>
      <c r="Y14" s="484"/>
      <c r="Z14" s="484"/>
      <c r="AA14" s="484"/>
      <c r="AB14" s="484"/>
      <c r="AC14" s="484"/>
      <c r="AD14" s="484"/>
      <c r="AE14" s="484"/>
      <c r="AF14" s="484"/>
      <c r="AG14" s="484"/>
      <c r="AH14" s="484"/>
      <c r="AI14" s="484"/>
      <c r="AJ14" s="484"/>
    </row>
    <row r="15" spans="1:36" ht="15" thickBot="1" x14ac:dyDescent="0.4">
      <c r="A15" s="484"/>
      <c r="B15" s="1708"/>
      <c r="C15" s="1"/>
      <c r="D15" s="847"/>
      <c r="E15" s="816" t="s">
        <v>1064</v>
      </c>
      <c r="F15" s="311">
        <f>IFERROR(Daylight_Area_sDA/Regularly_Occupied_Space,0)</f>
        <v>0</v>
      </c>
      <c r="G15" s="344"/>
      <c r="H15" s="813"/>
      <c r="I15" s="1"/>
      <c r="J15" s="751"/>
      <c r="K15" s="751"/>
      <c r="L15" s="751"/>
      <c r="M15" s="751"/>
      <c r="N15" s="1282"/>
      <c r="O15" s="1"/>
      <c r="P15" s="1088"/>
      <c r="Q15" s="1088"/>
      <c r="R15" s="1088"/>
      <c r="S15" s="484"/>
      <c r="T15" s="484"/>
      <c r="U15" s="484"/>
      <c r="V15" s="484"/>
      <c r="W15" s="484"/>
      <c r="X15" s="484"/>
      <c r="Y15" s="484"/>
      <c r="Z15" s="484"/>
      <c r="AA15" s="484"/>
      <c r="AB15" s="484"/>
      <c r="AC15" s="484"/>
      <c r="AD15" s="484"/>
      <c r="AE15" s="484"/>
      <c r="AF15" s="484"/>
      <c r="AG15" s="484"/>
      <c r="AH15" s="484"/>
      <c r="AI15" s="484"/>
      <c r="AJ15" s="484"/>
    </row>
    <row r="16" spans="1:36" ht="15" thickBot="1" x14ac:dyDescent="0.4">
      <c r="A16" s="484"/>
      <c r="B16" s="1708"/>
      <c r="C16" s="1"/>
      <c r="D16" s="847"/>
      <c r="E16" s="1289" t="s">
        <v>1065</v>
      </c>
      <c r="F16" s="311">
        <f>IFERROR(Daylight_Area_ASE/Regularly_Occupied_Space,0)</f>
        <v>0</v>
      </c>
      <c r="G16" s="344"/>
      <c r="H16" s="813"/>
      <c r="I16" s="1"/>
      <c r="J16" s="751"/>
      <c r="K16" s="751"/>
      <c r="L16" s="751"/>
      <c r="M16" s="751"/>
      <c r="N16" s="1282"/>
      <c r="O16" s="1"/>
      <c r="P16" s="1088"/>
      <c r="Q16" s="1088"/>
      <c r="R16" s="1088"/>
      <c r="S16" s="484"/>
      <c r="T16" s="484"/>
      <c r="U16" s="484"/>
      <c r="V16" s="484"/>
      <c r="W16" s="484"/>
      <c r="X16" s="484"/>
      <c r="Y16" s="484"/>
      <c r="Z16" s="484"/>
      <c r="AA16" s="484"/>
      <c r="AB16" s="484"/>
      <c r="AC16" s="484"/>
      <c r="AD16" s="484"/>
      <c r="AE16" s="484"/>
      <c r="AF16" s="484"/>
      <c r="AG16" s="484"/>
      <c r="AH16" s="484"/>
      <c r="AI16" s="484"/>
      <c r="AJ16" s="484"/>
    </row>
    <row r="17" spans="1:36" x14ac:dyDescent="0.35">
      <c r="A17" s="484"/>
      <c r="B17" s="1708"/>
      <c r="C17" s="1"/>
      <c r="D17" s="847"/>
      <c r="E17" s="850"/>
      <c r="F17" s="1339"/>
      <c r="G17" s="850"/>
      <c r="H17" s="813"/>
      <c r="I17" s="1"/>
      <c r="J17" s="751"/>
      <c r="K17" s="751"/>
      <c r="L17" s="751"/>
      <c r="M17" s="751"/>
      <c r="N17" s="1282"/>
      <c r="O17" s="1"/>
      <c r="P17" s="1088"/>
      <c r="Q17" s="1088"/>
      <c r="R17" s="1088"/>
      <c r="S17" s="484"/>
      <c r="T17" s="484"/>
      <c r="U17" s="484"/>
      <c r="V17" s="484"/>
      <c r="W17" s="484"/>
      <c r="X17" s="484"/>
      <c r="Y17" s="484"/>
      <c r="Z17" s="484"/>
      <c r="AA17" s="484"/>
      <c r="AB17" s="484"/>
      <c r="AC17" s="484"/>
      <c r="AD17" s="484"/>
      <c r="AE17" s="484"/>
      <c r="AF17" s="484"/>
      <c r="AG17" s="484"/>
      <c r="AH17" s="484"/>
      <c r="AI17" s="484"/>
      <c r="AJ17" s="484"/>
    </row>
    <row r="18" spans="1:36" x14ac:dyDescent="0.35">
      <c r="A18" s="484"/>
      <c r="B18" s="1708"/>
      <c r="C18" s="1"/>
      <c r="D18" s="847"/>
      <c r="E18" s="1286" t="s">
        <v>791</v>
      </c>
      <c r="F18" s="1339"/>
      <c r="G18" s="850"/>
      <c r="H18" s="813"/>
      <c r="I18" s="1"/>
      <c r="J18" s="751"/>
      <c r="K18" s="751"/>
      <c r="L18" s="751"/>
      <c r="M18" s="751"/>
      <c r="N18" s="1282"/>
      <c r="O18" s="1"/>
      <c r="P18" s="1088"/>
      <c r="Q18" s="1088"/>
      <c r="R18" s="1088"/>
      <c r="S18" s="484"/>
      <c r="T18" s="484"/>
      <c r="U18" s="484"/>
      <c r="V18" s="484"/>
      <c r="W18" s="484"/>
      <c r="X18" s="484"/>
      <c r="Y18" s="484"/>
      <c r="Z18" s="484"/>
      <c r="AA18" s="484"/>
      <c r="AB18" s="484"/>
      <c r="AC18" s="484"/>
      <c r="AD18" s="484"/>
      <c r="AE18" s="484"/>
      <c r="AF18" s="484"/>
      <c r="AG18" s="484"/>
      <c r="AH18" s="484"/>
      <c r="AI18" s="484"/>
      <c r="AJ18" s="484"/>
    </row>
    <row r="19" spans="1:36" ht="15" thickBot="1" x14ac:dyDescent="0.4">
      <c r="A19" s="484"/>
      <c r="B19" s="1708"/>
      <c r="C19" s="1"/>
      <c r="D19" s="847"/>
      <c r="E19" s="1287" t="s">
        <v>384</v>
      </c>
      <c r="F19" s="347"/>
      <c r="G19" s="345" t="s">
        <v>22</v>
      </c>
      <c r="H19" s="813"/>
      <c r="I19" s="1"/>
      <c r="J19" s="751"/>
      <c r="K19" s="751"/>
      <c r="L19" s="751"/>
      <c r="M19" s="751"/>
      <c r="N19" s="1282"/>
      <c r="O19" s="1"/>
      <c r="P19" s="1088"/>
      <c r="Q19" s="1088"/>
      <c r="R19" s="1088"/>
      <c r="S19" s="484"/>
      <c r="T19" s="484"/>
      <c r="U19" s="484"/>
      <c r="V19" s="484"/>
      <c r="W19" s="484"/>
      <c r="X19" s="484"/>
      <c r="Y19" s="484"/>
      <c r="Z19" s="484"/>
      <c r="AA19" s="484"/>
      <c r="AB19" s="484"/>
      <c r="AC19" s="484"/>
      <c r="AD19" s="484"/>
      <c r="AE19" s="484"/>
      <c r="AF19" s="484"/>
      <c r="AG19" s="484"/>
      <c r="AH19" s="484"/>
      <c r="AI19" s="484"/>
      <c r="AJ19" s="484"/>
    </row>
    <row r="20" spans="1:36" ht="15" thickBot="1" x14ac:dyDescent="0.4">
      <c r="A20" s="484"/>
      <c r="B20" s="1708"/>
      <c r="C20" s="1"/>
      <c r="D20" s="847"/>
      <c r="E20" s="816" t="s">
        <v>891</v>
      </c>
      <c r="F20" s="311">
        <f>IFERROR(View_Area/Regularly_Occupied_Space,0)</f>
        <v>0</v>
      </c>
      <c r="G20" s="345"/>
      <c r="H20" s="813"/>
      <c r="I20" s="1"/>
      <c r="J20" s="751"/>
      <c r="K20" s="751"/>
      <c r="L20" s="751"/>
      <c r="M20" s="751"/>
      <c r="N20" s="1282"/>
      <c r="O20" s="1"/>
      <c r="P20" s="1088"/>
      <c r="Q20" s="1088"/>
      <c r="R20" s="1088"/>
      <c r="S20" s="484"/>
      <c r="T20" s="484"/>
      <c r="U20" s="484"/>
      <c r="V20" s="484"/>
      <c r="W20" s="484"/>
      <c r="X20" s="484"/>
      <c r="Y20" s="484"/>
      <c r="Z20" s="484"/>
      <c r="AA20" s="484"/>
      <c r="AB20" s="484"/>
      <c r="AC20" s="484"/>
      <c r="AD20" s="484"/>
      <c r="AE20" s="484"/>
      <c r="AF20" s="484"/>
      <c r="AG20" s="484"/>
      <c r="AH20" s="484"/>
      <c r="AI20" s="484"/>
      <c r="AJ20" s="484"/>
    </row>
    <row r="21" spans="1:36" x14ac:dyDescent="0.35">
      <c r="A21" s="484"/>
      <c r="B21" s="1708"/>
      <c r="C21" s="1"/>
      <c r="D21" s="856"/>
      <c r="E21" s="818"/>
      <c r="F21" s="819"/>
      <c r="G21" s="947"/>
      <c r="H21" s="841"/>
      <c r="I21" s="1"/>
      <c r="J21" s="751"/>
      <c r="K21" s="751"/>
      <c r="L21" s="751"/>
      <c r="M21" s="751"/>
      <c r="N21" s="1282"/>
      <c r="O21" s="1"/>
      <c r="P21" s="1088"/>
      <c r="Q21" s="1088"/>
      <c r="R21" s="1088"/>
      <c r="S21" s="484"/>
      <c r="T21" s="484"/>
      <c r="U21" s="484"/>
      <c r="V21" s="484"/>
      <c r="W21" s="484"/>
      <c r="X21" s="484"/>
      <c r="Y21" s="484"/>
      <c r="Z21" s="484"/>
      <c r="AA21" s="484"/>
      <c r="AB21" s="484"/>
      <c r="AC21" s="484"/>
      <c r="AD21" s="484"/>
      <c r="AE21" s="484"/>
      <c r="AF21" s="484"/>
      <c r="AG21" s="484"/>
      <c r="AH21" s="484"/>
      <c r="AI21" s="484"/>
      <c r="AJ21" s="484"/>
    </row>
    <row r="22" spans="1:36" x14ac:dyDescent="0.35">
      <c r="A22" s="484"/>
      <c r="B22" s="1"/>
      <c r="C22" s="1"/>
      <c r="D22" s="1"/>
      <c r="E22" s="8"/>
      <c r="F22" s="64"/>
      <c r="G22" s="8"/>
      <c r="H22" s="8"/>
      <c r="I22" s="1"/>
      <c r="J22" s="1"/>
      <c r="K22" s="1"/>
      <c r="L22" s="1"/>
      <c r="M22" s="1"/>
      <c r="N22" s="744"/>
      <c r="O22" s="1"/>
      <c r="P22" s="1"/>
      <c r="Q22" s="1"/>
      <c r="R22" s="1"/>
      <c r="S22" s="484"/>
      <c r="T22" s="484"/>
      <c r="U22" s="484"/>
      <c r="V22" s="484"/>
      <c r="W22" s="484"/>
      <c r="X22" s="484"/>
      <c r="Y22" s="484"/>
      <c r="Z22" s="484"/>
      <c r="AA22" s="484"/>
      <c r="AB22" s="484"/>
      <c r="AC22" s="484"/>
      <c r="AD22" s="484"/>
      <c r="AE22" s="484"/>
      <c r="AF22" s="484"/>
      <c r="AG22" s="484"/>
      <c r="AH22" s="484"/>
      <c r="AI22" s="484"/>
      <c r="AJ22" s="484"/>
    </row>
    <row r="23" spans="1:36" ht="14.4" customHeight="1" x14ac:dyDescent="0.35">
      <c r="A23" s="484"/>
      <c r="B23" s="1622" t="s">
        <v>1244</v>
      </c>
      <c r="C23" s="1"/>
      <c r="D23" s="1636" t="s">
        <v>938</v>
      </c>
      <c r="E23" s="1637"/>
      <c r="F23" s="1637"/>
      <c r="G23" s="1637"/>
      <c r="H23" s="1638"/>
      <c r="I23" s="1"/>
      <c r="J23" s="1088"/>
      <c r="K23" s="1088"/>
      <c r="L23" s="1088"/>
      <c r="M23" s="1088"/>
      <c r="N23" s="1088"/>
      <c r="O23" s="1"/>
      <c r="P23" s="1792" t="s">
        <v>809</v>
      </c>
      <c r="Q23" s="1792"/>
      <c r="R23" s="1792"/>
      <c r="S23" s="484"/>
      <c r="T23" s="484"/>
      <c r="U23" s="484"/>
      <c r="V23" s="484"/>
      <c r="W23" s="484"/>
      <c r="X23" s="484"/>
      <c r="Y23" s="484"/>
      <c r="Z23" s="484"/>
      <c r="AA23" s="484"/>
      <c r="AB23" s="484"/>
      <c r="AC23" s="484"/>
      <c r="AD23" s="484"/>
      <c r="AE23" s="484"/>
      <c r="AF23" s="484"/>
      <c r="AG23" s="484"/>
      <c r="AH23" s="484"/>
      <c r="AI23" s="484"/>
      <c r="AJ23" s="484"/>
    </row>
    <row r="24" spans="1:36" x14ac:dyDescent="0.35">
      <c r="A24" s="484"/>
      <c r="B24" s="1708"/>
      <c r="C24" s="1"/>
      <c r="D24" s="843"/>
      <c r="E24" s="844"/>
      <c r="F24" s="1509"/>
      <c r="G24" s="809"/>
      <c r="H24" s="823"/>
      <c r="I24" s="1"/>
      <c r="J24" s="1088"/>
      <c r="K24" s="1088"/>
      <c r="L24" s="1088"/>
      <c r="M24" s="1088"/>
      <c r="N24" s="1088"/>
      <c r="O24" s="1"/>
      <c r="P24" s="1184" t="s">
        <v>1207</v>
      </c>
      <c r="Q24" s="1129"/>
      <c r="R24" s="1129"/>
      <c r="S24" s="484"/>
      <c r="T24" s="484"/>
      <c r="U24" s="484"/>
      <c r="V24" s="484"/>
      <c r="W24" s="484"/>
      <c r="X24" s="484"/>
      <c r="Y24" s="484"/>
      <c r="Z24" s="484"/>
      <c r="AA24" s="484"/>
      <c r="AB24" s="484"/>
      <c r="AC24" s="484"/>
      <c r="AD24" s="484"/>
      <c r="AE24" s="484"/>
      <c r="AF24" s="484"/>
      <c r="AG24" s="484"/>
      <c r="AH24" s="484"/>
      <c r="AI24" s="484"/>
      <c r="AJ24" s="484"/>
    </row>
    <row r="25" spans="1:36" x14ac:dyDescent="0.35">
      <c r="A25" s="484"/>
      <c r="B25" s="1708"/>
      <c r="C25" s="1"/>
      <c r="D25" s="847"/>
      <c r="E25" s="1290" t="s">
        <v>372</v>
      </c>
      <c r="F25" s="1510"/>
      <c r="G25" s="812"/>
      <c r="H25" s="813"/>
      <c r="I25" s="1"/>
      <c r="J25" s="1088"/>
      <c r="K25" s="1088"/>
      <c r="L25" s="1088"/>
      <c r="M25" s="1088"/>
      <c r="N25" s="1088"/>
      <c r="O25" s="1"/>
      <c r="P25" s="1088"/>
      <c r="Q25" s="1088"/>
      <c r="R25" s="1088"/>
      <c r="S25" s="484"/>
      <c r="T25" s="484"/>
      <c r="U25" s="484"/>
      <c r="V25" s="484"/>
      <c r="W25" s="484"/>
      <c r="X25" s="484"/>
      <c r="Y25" s="484"/>
      <c r="Z25" s="484"/>
      <c r="AA25" s="484"/>
      <c r="AB25" s="484"/>
      <c r="AC25" s="484"/>
      <c r="AD25" s="484"/>
      <c r="AE25" s="484"/>
      <c r="AF25" s="484"/>
      <c r="AG25" s="484"/>
      <c r="AH25" s="484"/>
      <c r="AI25" s="484"/>
      <c r="AJ25" s="484"/>
    </row>
    <row r="26" spans="1:36" x14ac:dyDescent="0.35">
      <c r="A26" s="484"/>
      <c r="B26" s="1708"/>
      <c r="C26" s="1"/>
      <c r="D26" s="847"/>
      <c r="E26" s="848" t="s">
        <v>1134</v>
      </c>
      <c r="F26" s="478"/>
      <c r="G26" s="1285" t="s">
        <v>687</v>
      </c>
      <c r="H26" s="813"/>
      <c r="I26" s="1"/>
      <c r="J26" s="1110"/>
      <c r="K26" s="1109"/>
      <c r="L26" s="1540"/>
      <c r="M26" s="1540"/>
      <c r="N26" s="1540"/>
      <c r="O26" s="1"/>
      <c r="P26" s="1539" t="s">
        <v>1206</v>
      </c>
      <c r="Q26" s="1539"/>
      <c r="R26" s="1539"/>
      <c r="S26" s="484"/>
      <c r="T26" s="484"/>
      <c r="U26" s="484"/>
      <c r="V26" s="484"/>
      <c r="W26" s="484"/>
      <c r="X26" s="484"/>
      <c r="Y26" s="484"/>
      <c r="Z26" s="484"/>
      <c r="AA26" s="484"/>
      <c r="AB26" s="484"/>
      <c r="AC26" s="484"/>
      <c r="AD26" s="484"/>
      <c r="AE26" s="484"/>
      <c r="AF26" s="484"/>
      <c r="AG26" s="484"/>
      <c r="AH26" s="484"/>
      <c r="AI26" s="484"/>
      <c r="AJ26" s="484"/>
    </row>
    <row r="27" spans="1:36" ht="15" x14ac:dyDescent="0.35">
      <c r="A27" s="484"/>
      <c r="B27" s="1708"/>
      <c r="C27" s="1"/>
      <c r="D27" s="847"/>
      <c r="E27" s="848" t="s">
        <v>1174</v>
      </c>
      <c r="F27" s="347"/>
      <c r="G27" s="1285" t="s">
        <v>687</v>
      </c>
      <c r="H27" s="813"/>
      <c r="I27" s="1"/>
      <c r="J27" s="1110"/>
      <c r="K27" s="1109"/>
      <c r="L27" s="1540"/>
      <c r="M27" s="1540"/>
      <c r="N27" s="1540"/>
      <c r="O27" s="1"/>
      <c r="P27" s="1088"/>
      <c r="Q27" s="1088"/>
      <c r="R27" s="1088"/>
      <c r="S27" s="484"/>
      <c r="T27" s="484"/>
      <c r="U27" s="484"/>
      <c r="V27" s="484"/>
      <c r="W27" s="484"/>
      <c r="X27" s="484"/>
      <c r="Y27" s="484"/>
      <c r="Z27" s="484"/>
      <c r="AA27" s="484"/>
      <c r="AB27" s="484"/>
      <c r="AC27" s="484"/>
      <c r="AD27" s="484"/>
      <c r="AE27" s="484"/>
      <c r="AF27" s="484"/>
      <c r="AG27" s="484"/>
      <c r="AH27" s="484"/>
      <c r="AI27" s="484"/>
      <c r="AJ27" s="484"/>
    </row>
    <row r="28" spans="1:36" x14ac:dyDescent="0.35">
      <c r="A28" s="484"/>
      <c r="B28" s="1708"/>
      <c r="C28" s="1"/>
      <c r="D28" s="847"/>
      <c r="E28" s="853"/>
      <c r="F28" s="1511">
        <f>IF(AND(F26="Yes",F27="Yes"),1,0)</f>
        <v>0</v>
      </c>
      <c r="G28" s="853"/>
      <c r="H28" s="813"/>
      <c r="I28" s="1"/>
      <c r="J28" s="1110"/>
      <c r="K28" s="1109"/>
      <c r="L28" s="1540"/>
      <c r="M28" s="1540"/>
      <c r="N28" s="1540"/>
      <c r="O28" s="1"/>
      <c r="P28" s="1088"/>
      <c r="Q28" s="1088"/>
      <c r="R28" s="1088"/>
      <c r="S28" s="484"/>
      <c r="T28" s="484"/>
      <c r="U28" s="484"/>
      <c r="V28" s="484"/>
      <c r="W28" s="484"/>
      <c r="X28" s="484"/>
      <c r="Y28" s="484"/>
      <c r="Z28" s="484"/>
      <c r="AA28" s="484"/>
      <c r="AB28" s="484"/>
      <c r="AC28" s="484"/>
      <c r="AD28" s="484"/>
      <c r="AE28" s="484"/>
      <c r="AF28" s="484"/>
      <c r="AG28" s="484"/>
      <c r="AH28" s="484"/>
      <c r="AI28" s="484"/>
      <c r="AJ28" s="484"/>
    </row>
    <row r="29" spans="1:36" x14ac:dyDescent="0.35">
      <c r="A29" s="484"/>
      <c r="B29" s="1708"/>
      <c r="C29" s="1"/>
      <c r="D29" s="847"/>
      <c r="E29" s="1286" t="s">
        <v>1133</v>
      </c>
      <c r="F29" s="1339"/>
      <c r="G29" s="850"/>
      <c r="H29" s="813"/>
      <c r="I29" s="1"/>
      <c r="J29" s="1110"/>
      <c r="K29" s="1109"/>
      <c r="L29" s="1540"/>
      <c r="M29" s="1540"/>
      <c r="N29" s="1540"/>
      <c r="O29" s="1"/>
      <c r="P29" s="1088"/>
      <c r="Q29" s="1088"/>
      <c r="R29" s="1088"/>
      <c r="S29" s="484"/>
      <c r="T29" s="484"/>
      <c r="U29" s="484"/>
      <c r="V29" s="484"/>
      <c r="W29" s="484"/>
      <c r="X29" s="484"/>
      <c r="Y29" s="484"/>
      <c r="Z29" s="484"/>
      <c r="AA29" s="484"/>
      <c r="AB29" s="484"/>
      <c r="AC29" s="484"/>
      <c r="AD29" s="484"/>
      <c r="AE29" s="484"/>
      <c r="AF29" s="484"/>
      <c r="AG29" s="484"/>
      <c r="AH29" s="484"/>
      <c r="AI29" s="484"/>
      <c r="AJ29" s="484"/>
    </row>
    <row r="30" spans="1:36" x14ac:dyDescent="0.35">
      <c r="A30" s="484"/>
      <c r="B30" s="1708"/>
      <c r="C30" s="1"/>
      <c r="D30" s="847"/>
      <c r="E30" s="1290" t="s">
        <v>1132</v>
      </c>
      <c r="F30" s="1510"/>
      <c r="G30" s="850"/>
      <c r="H30" s="813"/>
      <c r="I30" s="1"/>
      <c r="J30" s="1110"/>
      <c r="K30" s="1109"/>
      <c r="L30" s="1540"/>
      <c r="M30" s="1540"/>
      <c r="N30" s="1540"/>
      <c r="O30" s="1"/>
      <c r="P30" s="1088"/>
      <c r="Q30" s="1088"/>
      <c r="R30" s="1088"/>
      <c r="S30" s="484"/>
      <c r="T30" s="484"/>
      <c r="U30" s="484"/>
      <c r="V30" s="484"/>
      <c r="W30" s="484"/>
      <c r="X30" s="484"/>
      <c r="Y30" s="484"/>
      <c r="Z30" s="484"/>
      <c r="AA30" s="484"/>
      <c r="AB30" s="484"/>
      <c r="AC30" s="484"/>
      <c r="AD30" s="484"/>
      <c r="AE30" s="484"/>
      <c r="AF30" s="484"/>
      <c r="AG30" s="484"/>
      <c r="AH30" s="484"/>
      <c r="AI30" s="484"/>
      <c r="AJ30" s="484"/>
    </row>
    <row r="31" spans="1:36" x14ac:dyDescent="0.35">
      <c r="A31" s="484"/>
      <c r="B31" s="1708"/>
      <c r="C31" s="1"/>
      <c r="D31" s="847"/>
      <c r="E31" s="848" t="s">
        <v>1130</v>
      </c>
      <c r="F31" s="478"/>
      <c r="G31" s="1285" t="s">
        <v>687</v>
      </c>
      <c r="H31" s="813"/>
      <c r="I31" s="1"/>
      <c r="J31" s="1110"/>
      <c r="K31" s="1109"/>
      <c r="L31" s="1540"/>
      <c r="M31" s="1540"/>
      <c r="N31" s="1540"/>
      <c r="O31" s="1"/>
      <c r="P31" s="1088"/>
      <c r="Q31" s="1088"/>
      <c r="R31" s="1088"/>
      <c r="S31" s="484"/>
      <c r="T31" s="484"/>
      <c r="U31" s="484"/>
      <c r="V31" s="484"/>
      <c r="W31" s="484"/>
      <c r="X31" s="484"/>
      <c r="Y31" s="484"/>
      <c r="Z31" s="484"/>
      <c r="AA31" s="484"/>
      <c r="AB31" s="484"/>
      <c r="AC31" s="484"/>
      <c r="AD31" s="484"/>
      <c r="AE31" s="484"/>
      <c r="AF31" s="484"/>
      <c r="AG31" s="484"/>
      <c r="AH31" s="484"/>
      <c r="AI31" s="484"/>
      <c r="AJ31" s="484"/>
    </row>
    <row r="32" spans="1:36" x14ac:dyDescent="0.35">
      <c r="A32" s="484"/>
      <c r="B32" s="1708"/>
      <c r="C32" s="1"/>
      <c r="D32" s="847"/>
      <c r="E32" s="848" t="s">
        <v>1131</v>
      </c>
      <c r="F32" s="347"/>
      <c r="G32" s="1285" t="s">
        <v>687</v>
      </c>
      <c r="H32" s="813"/>
      <c r="I32" s="1"/>
      <c r="J32" s="1110"/>
      <c r="K32" s="1109"/>
      <c r="L32" s="1540"/>
      <c r="M32" s="1540"/>
      <c r="N32" s="1540"/>
      <c r="O32" s="1"/>
      <c r="P32" s="1088"/>
      <c r="Q32" s="1088"/>
      <c r="R32" s="1088"/>
      <c r="S32" s="484"/>
      <c r="T32" s="484"/>
      <c r="U32" s="484"/>
      <c r="V32" s="484"/>
      <c r="W32" s="484"/>
      <c r="X32" s="484"/>
      <c r="Y32" s="484"/>
      <c r="Z32" s="484"/>
      <c r="AA32" s="484"/>
      <c r="AB32" s="484"/>
      <c r="AC32" s="484"/>
      <c r="AD32" s="484"/>
      <c r="AE32" s="484"/>
      <c r="AF32" s="484"/>
      <c r="AG32" s="484"/>
      <c r="AH32" s="484"/>
      <c r="AI32" s="484"/>
      <c r="AJ32" s="484"/>
    </row>
    <row r="33" spans="1:36" x14ac:dyDescent="0.35">
      <c r="A33" s="484"/>
      <c r="B33" s="1708"/>
      <c r="C33" s="1"/>
      <c r="D33" s="847"/>
      <c r="E33" s="848" t="s">
        <v>1128</v>
      </c>
      <c r="F33" s="347"/>
      <c r="G33" s="1285" t="s">
        <v>687</v>
      </c>
      <c r="H33" s="813"/>
      <c r="I33" s="1"/>
      <c r="J33" s="1110"/>
      <c r="K33" s="1109"/>
      <c r="L33" s="1540"/>
      <c r="M33" s="1540"/>
      <c r="N33" s="1540"/>
      <c r="O33" s="1"/>
      <c r="P33" s="1088"/>
      <c r="Q33" s="1088"/>
      <c r="R33" s="1088"/>
      <c r="S33" s="484"/>
      <c r="T33" s="484"/>
      <c r="U33" s="484"/>
      <c r="V33" s="484"/>
      <c r="W33" s="484"/>
      <c r="X33" s="484"/>
      <c r="Y33" s="484"/>
      <c r="Z33" s="484"/>
      <c r="AA33" s="484"/>
      <c r="AB33" s="484"/>
      <c r="AC33" s="484"/>
      <c r="AD33" s="484"/>
      <c r="AE33" s="484"/>
      <c r="AF33" s="484"/>
      <c r="AG33" s="484"/>
      <c r="AH33" s="484"/>
      <c r="AI33" s="484"/>
      <c r="AJ33" s="484"/>
    </row>
    <row r="34" spans="1:36" x14ac:dyDescent="0.35">
      <c r="A34" s="484"/>
      <c r="B34" s="1708"/>
      <c r="C34" s="1"/>
      <c r="D34" s="847"/>
      <c r="E34" s="848" t="s">
        <v>1129</v>
      </c>
      <c r="F34" s="347"/>
      <c r="G34" s="1285" t="s">
        <v>687</v>
      </c>
      <c r="H34" s="813"/>
      <c r="I34" s="1"/>
      <c r="J34" s="1110"/>
      <c r="K34" s="1109"/>
      <c r="L34" s="1540"/>
      <c r="M34" s="1540"/>
      <c r="N34" s="1540"/>
      <c r="O34" s="1"/>
      <c r="P34" s="1088"/>
      <c r="Q34" s="1088"/>
      <c r="R34" s="1088"/>
      <c r="S34" s="484"/>
      <c r="T34" s="484"/>
      <c r="U34" s="484"/>
      <c r="V34" s="484"/>
      <c r="W34" s="484"/>
      <c r="X34" s="484"/>
      <c r="Y34" s="484"/>
      <c r="Z34" s="484"/>
      <c r="AA34" s="484"/>
      <c r="AB34" s="484"/>
      <c r="AC34" s="484"/>
      <c r="AD34" s="484"/>
      <c r="AE34" s="484"/>
      <c r="AF34" s="484"/>
      <c r="AG34" s="484"/>
      <c r="AH34" s="484"/>
      <c r="AI34" s="484"/>
      <c r="AJ34" s="484"/>
    </row>
    <row r="35" spans="1:36" x14ac:dyDescent="0.35">
      <c r="A35" s="484"/>
      <c r="B35" s="1708"/>
      <c r="C35" s="1"/>
      <c r="D35" s="847"/>
      <c r="E35" s="850"/>
      <c r="F35" s="1512" cm="1">
        <f t="array" ref="F35">IF(OR(F31:F34="Yes"),1,0)</f>
        <v>0</v>
      </c>
      <c r="G35" s="812"/>
      <c r="H35" s="813"/>
      <c r="I35" s="1"/>
      <c r="J35" s="1110"/>
      <c r="K35" s="1109"/>
      <c r="L35" s="1540"/>
      <c r="M35" s="1540"/>
      <c r="N35" s="1540"/>
      <c r="O35" s="1"/>
      <c r="P35" s="1088"/>
      <c r="Q35" s="1088"/>
      <c r="R35" s="1088"/>
      <c r="S35" s="484"/>
      <c r="T35" s="484"/>
      <c r="U35" s="484"/>
      <c r="V35" s="484"/>
      <c r="W35" s="484"/>
      <c r="X35" s="484"/>
      <c r="Y35" s="484"/>
      <c r="Z35" s="484"/>
      <c r="AA35" s="484"/>
      <c r="AB35" s="484"/>
      <c r="AC35" s="484"/>
      <c r="AD35" s="484"/>
      <c r="AE35" s="484"/>
      <c r="AF35" s="484"/>
      <c r="AG35" s="484"/>
      <c r="AH35" s="484"/>
      <c r="AI35" s="484"/>
      <c r="AJ35" s="484"/>
    </row>
    <row r="36" spans="1:36" ht="15" x14ac:dyDescent="0.35">
      <c r="A36" s="484"/>
      <c r="B36" s="1708"/>
      <c r="C36" s="1"/>
      <c r="D36" s="847"/>
      <c r="E36" s="1290" t="s">
        <v>1135</v>
      </c>
      <c r="F36" s="1291"/>
      <c r="G36" s="812"/>
      <c r="H36" s="813"/>
      <c r="I36" s="1"/>
      <c r="J36" s="1110"/>
      <c r="K36" s="1109"/>
      <c r="L36" s="1540"/>
      <c r="M36" s="1540"/>
      <c r="N36" s="1540"/>
      <c r="O36" s="1"/>
      <c r="P36" s="1088"/>
      <c r="Q36" s="1088"/>
      <c r="R36" s="1088"/>
      <c r="S36" s="484"/>
      <c r="T36" s="484"/>
      <c r="U36" s="484"/>
      <c r="V36" s="484"/>
      <c r="W36" s="484"/>
      <c r="X36" s="484"/>
      <c r="Y36" s="484"/>
      <c r="Z36" s="484"/>
      <c r="AA36" s="484"/>
      <c r="AB36" s="484"/>
      <c r="AC36" s="484"/>
      <c r="AD36" s="484"/>
      <c r="AE36" s="484"/>
      <c r="AF36" s="484"/>
      <c r="AG36" s="484"/>
      <c r="AH36" s="484"/>
      <c r="AI36" s="484"/>
      <c r="AJ36" s="484"/>
    </row>
    <row r="37" spans="1:36" x14ac:dyDescent="0.35">
      <c r="A37" s="484"/>
      <c r="B37" s="1708"/>
      <c r="C37" s="1"/>
      <c r="D37" s="847"/>
      <c r="E37" s="853" t="s">
        <v>1127</v>
      </c>
      <c r="F37" s="478"/>
      <c r="G37" s="1285" t="s">
        <v>687</v>
      </c>
      <c r="H37" s="813"/>
      <c r="I37" s="1"/>
      <c r="J37" s="1110"/>
      <c r="K37" s="1109"/>
      <c r="L37" s="1540"/>
      <c r="M37" s="1540"/>
      <c r="N37" s="1540"/>
      <c r="O37" s="1"/>
      <c r="P37" s="1088"/>
      <c r="Q37" s="1088"/>
      <c r="R37" s="1088"/>
      <c r="S37" s="484"/>
      <c r="T37" s="484"/>
      <c r="U37" s="484"/>
      <c r="V37" s="484"/>
      <c r="W37" s="484"/>
      <c r="X37" s="484"/>
      <c r="Y37" s="484"/>
      <c r="Z37" s="484"/>
      <c r="AA37" s="484"/>
      <c r="AB37" s="484"/>
      <c r="AC37" s="484"/>
      <c r="AD37" s="484"/>
      <c r="AE37" s="484"/>
      <c r="AF37" s="484"/>
      <c r="AG37" s="484"/>
      <c r="AH37" s="484"/>
      <c r="AI37" s="484"/>
      <c r="AJ37" s="484"/>
    </row>
    <row r="38" spans="1:36" x14ac:dyDescent="0.35">
      <c r="A38" s="484"/>
      <c r="B38" s="1708"/>
      <c r="C38" s="1"/>
      <c r="D38" s="847"/>
      <c r="E38" s="853" t="s">
        <v>1126</v>
      </c>
      <c r="F38" s="347"/>
      <c r="G38" s="1285" t="s">
        <v>687</v>
      </c>
      <c r="H38" s="813"/>
      <c r="I38" s="1"/>
      <c r="J38" s="1110"/>
      <c r="K38" s="1109"/>
      <c r="L38" s="1540"/>
      <c r="M38" s="1540"/>
      <c r="N38" s="1540"/>
      <c r="O38" s="1"/>
      <c r="P38" s="1088"/>
      <c r="Q38" s="1088"/>
      <c r="R38" s="1088"/>
      <c r="S38" s="484"/>
      <c r="T38" s="484"/>
      <c r="U38" s="484"/>
      <c r="V38" s="484"/>
      <c r="W38" s="484"/>
      <c r="X38" s="484"/>
      <c r="Y38" s="484"/>
      <c r="Z38" s="484"/>
      <c r="AA38" s="484"/>
      <c r="AB38" s="484"/>
      <c r="AC38" s="484"/>
      <c r="AD38" s="484"/>
      <c r="AE38" s="484"/>
      <c r="AF38" s="484"/>
      <c r="AG38" s="484"/>
      <c r="AH38" s="484"/>
      <c r="AI38" s="484"/>
      <c r="AJ38" s="484"/>
    </row>
    <row r="39" spans="1:36" ht="15" thickBot="1" x14ac:dyDescent="0.4">
      <c r="A39" s="484"/>
      <c r="B39" s="1708"/>
      <c r="C39" s="1"/>
      <c r="D39" s="847"/>
      <c r="E39" s="850"/>
      <c r="F39" s="1512">
        <f>COUNTIF(F37:F38,"Yes")</f>
        <v>0</v>
      </c>
      <c r="G39" s="812"/>
      <c r="H39" s="813"/>
      <c r="I39" s="1"/>
      <c r="J39" s="1110"/>
      <c r="K39" s="1109"/>
      <c r="L39" s="1540"/>
      <c r="M39" s="1540"/>
      <c r="N39" s="1540"/>
      <c r="O39" s="1"/>
      <c r="P39" s="1088"/>
      <c r="Q39" s="1088"/>
      <c r="R39" s="1088"/>
      <c r="S39" s="484"/>
      <c r="T39" s="484"/>
      <c r="U39" s="484"/>
      <c r="V39" s="484"/>
      <c r="W39" s="484"/>
      <c r="X39" s="484"/>
      <c r="Y39" s="484"/>
      <c r="Z39" s="484"/>
      <c r="AA39" s="484"/>
      <c r="AB39" s="484"/>
      <c r="AC39" s="484"/>
      <c r="AD39" s="484"/>
      <c r="AE39" s="484"/>
      <c r="AF39" s="484"/>
      <c r="AG39" s="484"/>
      <c r="AH39" s="484"/>
      <c r="AI39" s="484"/>
      <c r="AJ39" s="484"/>
    </row>
    <row r="40" spans="1:36" ht="14.4" customHeight="1" thickBot="1" x14ac:dyDescent="0.4">
      <c r="A40" s="484"/>
      <c r="B40" s="1708"/>
      <c r="C40" s="1"/>
      <c r="D40" s="847"/>
      <c r="E40" s="1513" t="s">
        <v>1136</v>
      </c>
      <c r="F40" s="835">
        <f>SUM(F28,F35,F39)/4</f>
        <v>0</v>
      </c>
      <c r="G40" s="812"/>
      <c r="H40" s="813"/>
      <c r="I40" s="1"/>
      <c r="J40" s="1088"/>
      <c r="K40" s="1292"/>
      <c r="L40" s="1541"/>
      <c r="M40" s="1541"/>
      <c r="N40" s="1026"/>
      <c r="O40" s="1"/>
      <c r="P40" s="1088"/>
      <c r="Q40" s="1088"/>
      <c r="R40" s="1088"/>
      <c r="S40" s="484"/>
      <c r="T40" s="484"/>
      <c r="U40" s="484"/>
      <c r="V40" s="484"/>
      <c r="W40" s="484"/>
      <c r="X40" s="484"/>
      <c r="Y40" s="484"/>
      <c r="Z40" s="484"/>
      <c r="AA40" s="484"/>
      <c r="AB40" s="484"/>
      <c r="AC40" s="484"/>
      <c r="AD40" s="484"/>
      <c r="AE40" s="484"/>
      <c r="AF40" s="484"/>
      <c r="AG40" s="484"/>
      <c r="AH40" s="484"/>
      <c r="AI40" s="484"/>
      <c r="AJ40" s="484"/>
    </row>
    <row r="41" spans="1:36" x14ac:dyDescent="0.35">
      <c r="A41" s="484"/>
      <c r="B41" s="1708"/>
      <c r="C41" s="1"/>
      <c r="D41" s="856"/>
      <c r="E41" s="818"/>
      <c r="F41" s="819"/>
      <c r="G41" s="947"/>
      <c r="H41" s="841"/>
      <c r="I41" s="1"/>
      <c r="J41" s="1088"/>
      <c r="K41" s="1088"/>
      <c r="L41" s="1088"/>
      <c r="M41" s="1088"/>
      <c r="N41" s="1292"/>
      <c r="O41" s="1"/>
      <c r="P41" s="1088"/>
      <c r="Q41" s="1088"/>
      <c r="R41" s="1088"/>
      <c r="S41" s="484"/>
      <c r="T41" s="484"/>
      <c r="U41" s="484"/>
      <c r="V41" s="484"/>
      <c r="W41" s="484"/>
      <c r="X41" s="484"/>
      <c r="Y41" s="484"/>
      <c r="Z41" s="484"/>
      <c r="AA41" s="484"/>
      <c r="AB41" s="484"/>
      <c r="AC41" s="484"/>
      <c r="AD41" s="484"/>
      <c r="AE41" s="484"/>
      <c r="AF41" s="484"/>
      <c r="AG41" s="484"/>
      <c r="AH41" s="484"/>
      <c r="AI41" s="484"/>
      <c r="AJ41" s="484"/>
    </row>
    <row r="42" spans="1:36" x14ac:dyDescent="0.35">
      <c r="A42" s="484"/>
      <c r="B42" s="1"/>
      <c r="C42" s="1"/>
      <c r="D42" s="1"/>
      <c r="E42" s="8"/>
      <c r="F42" s="64"/>
      <c r="G42" s="8"/>
      <c r="H42" s="8"/>
      <c r="I42" s="1"/>
      <c r="J42" s="1"/>
      <c r="K42" s="1"/>
      <c r="L42" s="1"/>
      <c r="M42" s="1"/>
      <c r="N42" s="744"/>
      <c r="O42" s="1"/>
      <c r="P42" s="1"/>
      <c r="Q42" s="1"/>
      <c r="R42" s="1"/>
      <c r="S42" s="484"/>
      <c r="T42" s="484"/>
      <c r="U42" s="484"/>
      <c r="V42" s="484"/>
      <c r="W42" s="484"/>
      <c r="X42" s="484"/>
      <c r="Y42" s="484"/>
      <c r="Z42" s="484"/>
      <c r="AA42" s="484"/>
      <c r="AB42" s="484"/>
      <c r="AC42" s="484"/>
      <c r="AD42" s="484"/>
      <c r="AE42" s="484"/>
      <c r="AF42" s="484"/>
      <c r="AG42" s="484"/>
      <c r="AH42" s="484"/>
      <c r="AI42" s="484"/>
      <c r="AJ42" s="484"/>
    </row>
    <row r="43" spans="1:36" ht="14.4" customHeight="1" x14ac:dyDescent="0.35">
      <c r="A43" s="484"/>
      <c r="B43" s="1622" t="s">
        <v>388</v>
      </c>
      <c r="C43" s="1"/>
      <c r="D43" s="1794" t="s">
        <v>786</v>
      </c>
      <c r="E43" s="1794"/>
      <c r="F43" s="1794"/>
      <c r="G43" s="1794"/>
      <c r="H43" s="1794"/>
      <c r="I43" s="1"/>
      <c r="J43" s="1110"/>
      <c r="K43" s="1788" t="s">
        <v>787</v>
      </c>
      <c r="L43" s="1793"/>
      <c r="M43" s="1793"/>
      <c r="N43" s="1793"/>
      <c r="O43" s="1"/>
      <c r="P43" s="1294"/>
      <c r="Q43" s="1129"/>
      <c r="R43" s="1129"/>
      <c r="S43" s="484"/>
      <c r="T43" s="484"/>
      <c r="U43" s="484"/>
      <c r="V43" s="484"/>
      <c r="W43" s="484"/>
      <c r="X43" s="484"/>
      <c r="Y43" s="484"/>
      <c r="Z43" s="484"/>
      <c r="AA43" s="484"/>
      <c r="AB43" s="484"/>
      <c r="AC43" s="484"/>
      <c r="AD43" s="484"/>
      <c r="AE43" s="484"/>
      <c r="AF43" s="484"/>
      <c r="AG43" s="484"/>
      <c r="AH43" s="484"/>
      <c r="AI43" s="484"/>
      <c r="AJ43" s="484"/>
    </row>
    <row r="44" spans="1:36" x14ac:dyDescent="0.35">
      <c r="A44" s="484"/>
      <c r="B44" s="1708"/>
      <c r="C44" s="1"/>
      <c r="D44" s="843"/>
      <c r="E44" s="844"/>
      <c r="F44" s="810"/>
      <c r="G44" s="809"/>
      <c r="H44" s="823"/>
      <c r="I44" s="1"/>
      <c r="J44" s="1295" t="s">
        <v>389</v>
      </c>
      <c r="K44" s="1295"/>
      <c r="L44" s="1296" t="s">
        <v>390</v>
      </c>
      <c r="M44" s="1296" t="s">
        <v>391</v>
      </c>
      <c r="N44" s="1296"/>
      <c r="O44" s="1"/>
      <c r="P44" s="1789" t="s">
        <v>812</v>
      </c>
      <c r="Q44" s="1789"/>
      <c r="R44" s="1789"/>
      <c r="S44" s="484"/>
      <c r="T44" s="484"/>
      <c r="U44" s="484"/>
      <c r="V44" s="484"/>
      <c r="W44" s="484"/>
      <c r="X44" s="484"/>
      <c r="Y44" s="484"/>
      <c r="Z44" s="484"/>
      <c r="AA44" s="484"/>
      <c r="AB44" s="484"/>
      <c r="AC44" s="484"/>
      <c r="AD44" s="484"/>
      <c r="AE44" s="484"/>
      <c r="AF44" s="484"/>
      <c r="AG44" s="484"/>
      <c r="AH44" s="484"/>
      <c r="AI44" s="484"/>
      <c r="AJ44" s="484"/>
    </row>
    <row r="45" spans="1:36" ht="15.5" x14ac:dyDescent="0.4">
      <c r="A45" s="484"/>
      <c r="B45" s="1708"/>
      <c r="C45" s="1"/>
      <c r="D45" s="847"/>
      <c r="E45" s="344" t="s">
        <v>789</v>
      </c>
      <c r="F45" s="347"/>
      <c r="G45" s="1285" t="s">
        <v>687</v>
      </c>
      <c r="H45" s="813"/>
      <c r="I45" s="1"/>
      <c r="J45" s="1088" t="s">
        <v>393</v>
      </c>
      <c r="K45" s="1088" t="s">
        <v>394</v>
      </c>
      <c r="L45" s="1292">
        <v>50</v>
      </c>
      <c r="M45" s="1292">
        <v>20</v>
      </c>
      <c r="N45" s="1292" t="s">
        <v>395</v>
      </c>
      <c r="O45" s="1"/>
      <c r="P45" s="1790" t="s">
        <v>811</v>
      </c>
      <c r="Q45" s="1790"/>
      <c r="R45" s="1790"/>
      <c r="S45" s="484"/>
      <c r="T45" s="484"/>
      <c r="U45" s="484"/>
      <c r="V45" s="484"/>
      <c r="W45" s="484"/>
      <c r="X45" s="484"/>
      <c r="Y45" s="484"/>
      <c r="Z45" s="484"/>
      <c r="AA45" s="484"/>
      <c r="AB45" s="484"/>
      <c r="AC45" s="484"/>
      <c r="AD45" s="484"/>
      <c r="AE45" s="484"/>
      <c r="AF45" s="484"/>
      <c r="AG45" s="484"/>
      <c r="AH45" s="484"/>
      <c r="AI45" s="484"/>
      <c r="AJ45" s="484"/>
    </row>
    <row r="46" spans="1:36" ht="15.5" x14ac:dyDescent="0.4">
      <c r="A46" s="484"/>
      <c r="B46" s="1708"/>
      <c r="C46" s="1"/>
      <c r="D46" s="847"/>
      <c r="E46" s="344" t="s">
        <v>788</v>
      </c>
      <c r="F46" s="347"/>
      <c r="G46" s="1285" t="s">
        <v>687</v>
      </c>
      <c r="H46" s="813"/>
      <c r="I46" s="1"/>
      <c r="J46" s="1088" t="s">
        <v>393</v>
      </c>
      <c r="K46" s="1088" t="s">
        <v>396</v>
      </c>
      <c r="L46" s="1292">
        <v>15</v>
      </c>
      <c r="M46" s="1292">
        <v>15</v>
      </c>
      <c r="N46" s="1292" t="s">
        <v>395</v>
      </c>
      <c r="O46" s="1"/>
      <c r="P46" s="1728"/>
      <c r="Q46" s="1728"/>
      <c r="R46" s="1728"/>
      <c r="S46" s="484"/>
      <c r="T46" s="484"/>
      <c r="U46" s="484"/>
      <c r="V46" s="484"/>
      <c r="W46" s="484"/>
      <c r="X46" s="484"/>
      <c r="Y46" s="484"/>
      <c r="Z46" s="484"/>
      <c r="AA46" s="484"/>
      <c r="AB46" s="484"/>
      <c r="AC46" s="484"/>
      <c r="AD46" s="484"/>
      <c r="AE46" s="484"/>
      <c r="AF46" s="484"/>
      <c r="AG46" s="484"/>
      <c r="AH46" s="484"/>
      <c r="AI46" s="484"/>
      <c r="AJ46" s="484"/>
    </row>
    <row r="47" spans="1:36" ht="15" customHeight="1" x14ac:dyDescent="0.4">
      <c r="A47" s="484"/>
      <c r="B47" s="1708"/>
      <c r="C47" s="1"/>
      <c r="D47" s="847"/>
      <c r="E47" s="344" t="s">
        <v>189</v>
      </c>
      <c r="F47" s="358"/>
      <c r="G47" s="812"/>
      <c r="H47" s="813"/>
      <c r="I47" s="1"/>
      <c r="J47" s="1088" t="s">
        <v>397</v>
      </c>
      <c r="K47" s="1088" t="s">
        <v>398</v>
      </c>
      <c r="L47" s="1292">
        <v>7.4999999999999997E-2</v>
      </c>
      <c r="M47" s="1292">
        <v>0.75</v>
      </c>
      <c r="N47" s="1292" t="s">
        <v>392</v>
      </c>
      <c r="O47" s="1"/>
      <c r="P47" s="1294"/>
      <c r="Q47" s="1294"/>
      <c r="R47" s="1294"/>
      <c r="S47" s="484"/>
      <c r="T47" s="484"/>
      <c r="U47" s="484"/>
      <c r="V47" s="484"/>
      <c r="W47" s="484"/>
      <c r="X47" s="484"/>
      <c r="Y47" s="484"/>
      <c r="Z47" s="484"/>
      <c r="AA47" s="484"/>
      <c r="AB47" s="484"/>
      <c r="AC47" s="484"/>
      <c r="AD47" s="484"/>
      <c r="AE47" s="484"/>
      <c r="AF47" s="484"/>
      <c r="AG47" s="484"/>
      <c r="AH47" s="484"/>
      <c r="AI47" s="484"/>
      <c r="AJ47" s="484"/>
    </row>
    <row r="48" spans="1:36" ht="14.4" customHeight="1" x14ac:dyDescent="0.35">
      <c r="A48" s="484"/>
      <c r="B48" s="1708"/>
      <c r="C48" s="1"/>
      <c r="D48" s="847"/>
      <c r="E48" s="850"/>
      <c r="F48" s="1339"/>
      <c r="G48" s="850"/>
      <c r="H48" s="813"/>
      <c r="I48" s="1"/>
      <c r="J48" s="1088" t="s">
        <v>399</v>
      </c>
      <c r="K48" s="1088" t="s">
        <v>400</v>
      </c>
      <c r="L48" s="1292">
        <v>9</v>
      </c>
      <c r="M48" s="1292">
        <v>9</v>
      </c>
      <c r="N48" s="1292" t="s">
        <v>392</v>
      </c>
      <c r="O48" s="1"/>
      <c r="P48" s="1789" t="s">
        <v>808</v>
      </c>
      <c r="Q48" s="1789"/>
      <c r="R48" s="1789"/>
      <c r="S48" s="484"/>
      <c r="T48" s="484"/>
      <c r="U48" s="484"/>
      <c r="V48" s="484"/>
      <c r="W48" s="484"/>
      <c r="X48" s="484"/>
      <c r="Y48" s="484"/>
      <c r="Z48" s="484"/>
      <c r="AA48" s="484"/>
      <c r="AB48" s="484"/>
      <c r="AC48" s="484"/>
      <c r="AD48" s="484"/>
      <c r="AE48" s="484"/>
      <c r="AF48" s="484"/>
      <c r="AG48" s="484"/>
      <c r="AH48" s="484"/>
      <c r="AI48" s="484"/>
      <c r="AJ48" s="484"/>
    </row>
    <row r="49" spans="1:36" ht="15" x14ac:dyDescent="0.35">
      <c r="A49" s="484"/>
      <c r="B49" s="1708"/>
      <c r="C49" s="1"/>
      <c r="D49" s="847"/>
      <c r="E49" s="1286" t="s">
        <v>792</v>
      </c>
      <c r="F49" s="1339"/>
      <c r="G49" s="850"/>
      <c r="H49" s="813"/>
      <c r="I49" s="1"/>
      <c r="J49" s="1088" t="s">
        <v>796</v>
      </c>
      <c r="K49" s="1088" t="s">
        <v>402</v>
      </c>
      <c r="L49" s="1292">
        <v>500</v>
      </c>
      <c r="M49" s="1292">
        <v>200</v>
      </c>
      <c r="N49" s="1292" t="s">
        <v>395</v>
      </c>
      <c r="O49" s="1"/>
      <c r="P49" s="1791" t="s">
        <v>809</v>
      </c>
      <c r="Q49" s="1791"/>
      <c r="R49" s="1791"/>
      <c r="S49" s="484"/>
      <c r="T49" s="484"/>
      <c r="U49" s="484"/>
      <c r="V49" s="484"/>
      <c r="W49" s="484"/>
      <c r="X49" s="484"/>
      <c r="Y49" s="484"/>
      <c r="Z49" s="484"/>
      <c r="AA49" s="484"/>
      <c r="AB49" s="484"/>
      <c r="AC49" s="484"/>
      <c r="AD49" s="484"/>
      <c r="AE49" s="484"/>
      <c r="AF49" s="484"/>
      <c r="AG49" s="484"/>
      <c r="AH49" s="484"/>
      <c r="AI49" s="484"/>
      <c r="AJ49" s="484"/>
    </row>
    <row r="50" spans="1:36" ht="15" x14ac:dyDescent="0.4">
      <c r="A50" s="484"/>
      <c r="B50" s="1708"/>
      <c r="C50" s="1"/>
      <c r="D50" s="847"/>
      <c r="E50" s="1287" t="s">
        <v>797</v>
      </c>
      <c r="F50" s="347"/>
      <c r="G50" s="1285" t="s">
        <v>687</v>
      </c>
      <c r="H50" s="813"/>
      <c r="I50" s="1"/>
      <c r="J50" s="1088" t="s">
        <v>403</v>
      </c>
      <c r="K50" s="1088" t="s">
        <v>404</v>
      </c>
      <c r="L50" s="1292">
        <v>27</v>
      </c>
      <c r="M50" s="1292">
        <v>16.3</v>
      </c>
      <c r="N50" s="1292" t="s">
        <v>401</v>
      </c>
      <c r="O50" s="1"/>
      <c r="P50" s="1184" t="s">
        <v>1207</v>
      </c>
      <c r="Q50" s="1129"/>
      <c r="R50" s="1129"/>
      <c r="S50" s="484"/>
      <c r="T50" s="484"/>
      <c r="U50" s="484"/>
      <c r="V50" s="484"/>
      <c r="W50" s="484"/>
      <c r="X50" s="484"/>
      <c r="Y50" s="484"/>
      <c r="Z50" s="484"/>
      <c r="AA50" s="484"/>
      <c r="AB50" s="484"/>
      <c r="AC50" s="484"/>
      <c r="AD50" s="484"/>
      <c r="AE50" s="484"/>
      <c r="AF50" s="484"/>
      <c r="AG50" s="484"/>
      <c r="AH50" s="484"/>
      <c r="AI50" s="484"/>
      <c r="AJ50" s="484"/>
    </row>
    <row r="51" spans="1:36" x14ac:dyDescent="0.35">
      <c r="A51" s="484"/>
      <c r="B51" s="1708"/>
      <c r="C51" s="1"/>
      <c r="D51" s="847"/>
      <c r="E51" s="850"/>
      <c r="F51" s="1339"/>
      <c r="G51" s="344"/>
      <c r="H51" s="813"/>
      <c r="I51" s="1"/>
      <c r="J51" s="1088" t="s">
        <v>810</v>
      </c>
      <c r="K51" s="1787" t="s">
        <v>812</v>
      </c>
      <c r="L51" s="1787"/>
      <c r="M51" s="1787"/>
      <c r="N51" s="1787"/>
      <c r="O51" s="1"/>
      <c r="P51" s="1129"/>
      <c r="Q51" s="1129"/>
      <c r="R51" s="1129"/>
      <c r="S51" s="484"/>
      <c r="T51" s="484"/>
      <c r="U51" s="484"/>
      <c r="V51" s="484"/>
      <c r="W51" s="484"/>
      <c r="X51" s="484"/>
      <c r="Y51" s="484"/>
      <c r="Z51" s="484"/>
      <c r="AA51" s="484"/>
      <c r="AB51" s="484"/>
      <c r="AC51" s="484"/>
      <c r="AD51" s="484"/>
      <c r="AE51" s="484"/>
      <c r="AF51" s="484"/>
      <c r="AG51" s="484"/>
      <c r="AH51" s="484"/>
      <c r="AI51" s="484"/>
      <c r="AJ51" s="484"/>
    </row>
    <row r="52" spans="1:36" x14ac:dyDescent="0.35">
      <c r="A52" s="484"/>
      <c r="B52" s="1708"/>
      <c r="C52" s="1"/>
      <c r="D52" s="847"/>
      <c r="E52" s="1290" t="s">
        <v>884</v>
      </c>
      <c r="F52" s="1339"/>
      <c r="G52" s="812"/>
      <c r="H52" s="813"/>
      <c r="I52" s="1"/>
      <c r="J52" s="1110"/>
      <c r="K52" s="1110"/>
      <c r="L52" s="1293"/>
      <c r="M52" s="1293"/>
      <c r="N52" s="1293"/>
      <c r="O52" s="1"/>
      <c r="P52" s="1129"/>
      <c r="Q52" s="1129"/>
      <c r="R52" s="1129"/>
      <c r="S52" s="484"/>
      <c r="T52" s="484"/>
      <c r="U52" s="484"/>
      <c r="V52" s="484"/>
      <c r="W52" s="484"/>
      <c r="X52" s="484"/>
      <c r="Y52" s="484"/>
      <c r="Z52" s="484"/>
      <c r="AA52" s="484"/>
      <c r="AB52" s="484"/>
      <c r="AC52" s="484"/>
      <c r="AD52" s="484"/>
      <c r="AE52" s="484"/>
      <c r="AF52" s="484"/>
      <c r="AG52" s="484"/>
      <c r="AH52" s="484"/>
      <c r="AI52" s="484"/>
      <c r="AJ52" s="484"/>
    </row>
    <row r="53" spans="1:36" ht="15" x14ac:dyDescent="0.4">
      <c r="A53" s="484"/>
      <c r="B53" s="1708"/>
      <c r="C53" s="1"/>
      <c r="D53" s="847"/>
      <c r="E53" s="848" t="s">
        <v>904</v>
      </c>
      <c r="F53" s="347"/>
      <c r="G53" s="1285" t="s">
        <v>687</v>
      </c>
      <c r="H53" s="813"/>
      <c r="I53" s="1"/>
      <c r="J53" s="1110"/>
      <c r="K53" s="1110"/>
      <c r="L53" s="1293"/>
      <c r="M53" s="1293"/>
      <c r="N53" s="1293"/>
      <c r="O53" s="1"/>
      <c r="P53" s="1129"/>
      <c r="Q53" s="1129"/>
      <c r="R53" s="1129"/>
      <c r="S53" s="484"/>
      <c r="T53" s="484"/>
      <c r="U53" s="484"/>
      <c r="V53" s="484"/>
      <c r="W53" s="484"/>
      <c r="X53" s="484"/>
      <c r="Y53" s="484"/>
      <c r="Z53" s="484"/>
      <c r="AA53" s="484"/>
      <c r="AB53" s="484"/>
      <c r="AC53" s="484"/>
      <c r="AD53" s="484"/>
      <c r="AE53" s="484"/>
      <c r="AF53" s="484"/>
      <c r="AG53" s="484"/>
      <c r="AH53" s="484"/>
      <c r="AI53" s="484"/>
      <c r="AJ53" s="484"/>
    </row>
    <row r="54" spans="1:36" ht="15" x14ac:dyDescent="0.35">
      <c r="A54" s="484"/>
      <c r="B54" s="1708"/>
      <c r="C54" s="1"/>
      <c r="D54" s="847"/>
      <c r="E54" s="344" t="s">
        <v>824</v>
      </c>
      <c r="F54" s="347"/>
      <c r="G54" s="1285" t="s">
        <v>687</v>
      </c>
      <c r="H54" s="813"/>
      <c r="I54" s="1"/>
      <c r="J54" s="1110"/>
      <c r="K54" s="1110"/>
      <c r="L54" s="1293"/>
      <c r="M54" s="1293"/>
      <c r="N54" s="1293"/>
      <c r="O54" s="1"/>
      <c r="P54" s="1129"/>
      <c r="Q54" s="1129"/>
      <c r="R54" s="1129"/>
      <c r="S54" s="484"/>
      <c r="T54" s="484"/>
      <c r="U54" s="484"/>
      <c r="V54" s="484"/>
      <c r="W54" s="484"/>
      <c r="X54" s="484"/>
      <c r="Y54" s="484"/>
      <c r="Z54" s="484"/>
      <c r="AA54" s="484"/>
      <c r="AB54" s="484"/>
      <c r="AC54" s="484"/>
      <c r="AD54" s="484"/>
      <c r="AE54" s="484"/>
      <c r="AF54" s="484"/>
      <c r="AG54" s="484"/>
      <c r="AH54" s="484"/>
      <c r="AI54" s="484"/>
      <c r="AJ54" s="484"/>
    </row>
    <row r="55" spans="1:36" x14ac:dyDescent="0.35">
      <c r="A55" s="484"/>
      <c r="B55" s="1708"/>
      <c r="C55" s="1"/>
      <c r="D55" s="847"/>
      <c r="E55" s="344" t="s">
        <v>397</v>
      </c>
      <c r="F55" s="361"/>
      <c r="G55" s="1285" t="s">
        <v>687</v>
      </c>
      <c r="H55" s="813"/>
      <c r="I55" s="1"/>
      <c r="J55" s="1110"/>
      <c r="K55" s="1110"/>
      <c r="L55" s="1293"/>
      <c r="M55" s="1293"/>
      <c r="N55" s="1293"/>
      <c r="O55" s="1"/>
      <c r="P55" s="1129"/>
      <c r="Q55" s="1129"/>
      <c r="R55" s="1129"/>
      <c r="S55" s="484"/>
      <c r="T55" s="484"/>
      <c r="U55" s="484"/>
      <c r="V55" s="484"/>
      <c r="W55" s="484"/>
      <c r="X55" s="484"/>
      <c r="Y55" s="484"/>
      <c r="Z55" s="484"/>
      <c r="AA55" s="484"/>
      <c r="AB55" s="484"/>
      <c r="AC55" s="484"/>
      <c r="AD55" s="484"/>
      <c r="AE55" s="484"/>
      <c r="AF55" s="484"/>
      <c r="AG55" s="484"/>
      <c r="AH55" s="484"/>
      <c r="AI55" s="484"/>
      <c r="AJ55" s="484"/>
    </row>
    <row r="56" spans="1:36" x14ac:dyDescent="0.35">
      <c r="A56" s="484"/>
      <c r="B56" s="1708"/>
      <c r="C56" s="1"/>
      <c r="D56" s="847"/>
      <c r="E56" s="848" t="s">
        <v>400</v>
      </c>
      <c r="F56" s="347"/>
      <c r="G56" s="1285" t="s">
        <v>687</v>
      </c>
      <c r="H56" s="813"/>
      <c r="I56" s="1"/>
      <c r="J56" s="1110"/>
      <c r="K56" s="1110"/>
      <c r="L56" s="1293"/>
      <c r="M56" s="1293"/>
      <c r="N56" s="1293"/>
      <c r="O56" s="1"/>
      <c r="P56" s="1129"/>
      <c r="Q56" s="1129"/>
      <c r="R56" s="1129"/>
      <c r="S56" s="484"/>
      <c r="T56" s="484"/>
      <c r="U56" s="484"/>
      <c r="V56" s="484"/>
      <c r="W56" s="484"/>
      <c r="X56" s="484"/>
      <c r="Y56" s="484"/>
      <c r="Z56" s="484"/>
      <c r="AA56" s="484"/>
      <c r="AB56" s="484"/>
      <c r="AC56" s="484"/>
      <c r="AD56" s="484"/>
      <c r="AE56" s="484"/>
      <c r="AF56" s="484"/>
      <c r="AG56" s="484"/>
      <c r="AH56" s="484"/>
      <c r="AI56" s="484"/>
      <c r="AJ56" s="484"/>
    </row>
    <row r="57" spans="1:36" x14ac:dyDescent="0.35">
      <c r="A57" s="484"/>
      <c r="B57" s="1708"/>
      <c r="C57" s="1"/>
      <c r="D57" s="847"/>
      <c r="E57" s="848" t="s">
        <v>403</v>
      </c>
      <c r="F57" s="347"/>
      <c r="G57" s="1285" t="s">
        <v>687</v>
      </c>
      <c r="H57" s="813"/>
      <c r="I57" s="1"/>
      <c r="J57" s="1110"/>
      <c r="K57" s="1110"/>
      <c r="L57" s="1293"/>
      <c r="M57" s="1293"/>
      <c r="N57" s="1293"/>
      <c r="O57" s="1"/>
      <c r="P57" s="1129"/>
      <c r="Q57" s="1129"/>
      <c r="R57" s="1129"/>
      <c r="S57" s="484"/>
      <c r="T57" s="484"/>
      <c r="U57" s="484"/>
      <c r="V57" s="484"/>
      <c r="W57" s="484"/>
      <c r="X57" s="484"/>
      <c r="Y57" s="484"/>
      <c r="Z57" s="484"/>
      <c r="AA57" s="484"/>
      <c r="AB57" s="484"/>
      <c r="AC57" s="484"/>
      <c r="AD57" s="484"/>
      <c r="AE57" s="484"/>
      <c r="AF57" s="484"/>
      <c r="AG57" s="484"/>
      <c r="AH57" s="484"/>
      <c r="AI57" s="484"/>
      <c r="AJ57" s="484"/>
    </row>
    <row r="58" spans="1:36" x14ac:dyDescent="0.35">
      <c r="A58" s="484"/>
      <c r="B58" s="1708"/>
      <c r="C58" s="1"/>
      <c r="D58" s="847"/>
      <c r="E58" s="317" t="s">
        <v>341</v>
      </c>
      <c r="F58" s="347"/>
      <c r="G58" s="1297"/>
      <c r="H58" s="813"/>
      <c r="I58" s="1"/>
      <c r="J58" s="1110"/>
      <c r="K58" s="1110"/>
      <c r="L58" s="1293"/>
      <c r="M58" s="1293"/>
      <c r="N58" s="1293"/>
      <c r="O58" s="1"/>
      <c r="P58" s="1129"/>
      <c r="Q58" s="1129"/>
      <c r="R58" s="1129"/>
      <c r="S58" s="484"/>
      <c r="T58" s="484"/>
      <c r="U58" s="484"/>
      <c r="V58" s="484"/>
      <c r="W58" s="484"/>
      <c r="X58" s="484"/>
      <c r="Y58" s="484"/>
      <c r="Z58" s="484"/>
      <c r="AA58" s="484"/>
      <c r="AB58" s="484"/>
      <c r="AC58" s="484"/>
      <c r="AD58" s="484"/>
      <c r="AE58" s="484"/>
      <c r="AF58" s="484"/>
      <c r="AG58" s="484"/>
      <c r="AH58" s="484"/>
      <c r="AI58" s="484"/>
      <c r="AJ58" s="484"/>
    </row>
    <row r="59" spans="1:36" x14ac:dyDescent="0.35">
      <c r="A59" s="484"/>
      <c r="B59" s="1708"/>
      <c r="C59" s="1"/>
      <c r="D59" s="847"/>
      <c r="E59" s="344"/>
      <c r="F59" s="12"/>
      <c r="G59" s="344"/>
      <c r="H59" s="813"/>
      <c r="I59" s="1"/>
      <c r="J59" s="1110"/>
      <c r="K59" s="1110"/>
      <c r="L59" s="1293"/>
      <c r="M59" s="1293"/>
      <c r="N59" s="1293"/>
      <c r="O59" s="1"/>
      <c r="P59" s="1129"/>
      <c r="Q59" s="1129"/>
      <c r="R59" s="1129"/>
      <c r="S59" s="484"/>
      <c r="T59" s="484"/>
      <c r="U59" s="484"/>
      <c r="V59" s="484"/>
      <c r="W59" s="484"/>
      <c r="X59" s="484"/>
      <c r="Y59" s="484"/>
      <c r="Z59" s="484"/>
      <c r="AA59" s="484"/>
      <c r="AB59" s="484"/>
      <c r="AC59" s="484"/>
      <c r="AD59" s="484"/>
      <c r="AE59" s="484"/>
      <c r="AF59" s="484"/>
      <c r="AG59" s="484"/>
      <c r="AH59" s="484"/>
      <c r="AI59" s="484"/>
      <c r="AJ59" s="484"/>
    </row>
    <row r="60" spans="1:36" ht="15" x14ac:dyDescent="0.4">
      <c r="A60" s="484"/>
      <c r="B60" s="1708"/>
      <c r="C60" s="1"/>
      <c r="D60" s="847"/>
      <c r="E60" s="1290" t="s">
        <v>905</v>
      </c>
      <c r="F60" s="1510"/>
      <c r="G60" s="850"/>
      <c r="H60" s="813"/>
      <c r="I60" s="1"/>
      <c r="J60" s="1294"/>
      <c r="K60" s="1294"/>
      <c r="L60" s="1294"/>
      <c r="M60" s="1294"/>
      <c r="N60" s="1298"/>
      <c r="O60" s="1"/>
      <c r="P60" s="1129"/>
      <c r="Q60" s="1129"/>
      <c r="R60" s="1129"/>
      <c r="S60" s="484"/>
      <c r="T60" s="484"/>
      <c r="U60" s="484"/>
      <c r="V60" s="484"/>
      <c r="W60" s="484"/>
      <c r="X60" s="484"/>
      <c r="Y60" s="484"/>
      <c r="Z60" s="484"/>
      <c r="AA60" s="484"/>
      <c r="AB60" s="484"/>
      <c r="AC60" s="484"/>
      <c r="AD60" s="484"/>
      <c r="AE60" s="484"/>
      <c r="AF60" s="484"/>
      <c r="AG60" s="484"/>
      <c r="AH60" s="484"/>
      <c r="AI60" s="484"/>
      <c r="AJ60" s="484"/>
    </row>
    <row r="61" spans="1:36" ht="15" x14ac:dyDescent="0.35">
      <c r="A61" s="484"/>
      <c r="B61" s="1708"/>
      <c r="C61" s="1"/>
      <c r="D61" s="847"/>
      <c r="E61" s="1287" t="s">
        <v>949</v>
      </c>
      <c r="F61" s="347"/>
      <c r="G61" s="1285" t="s">
        <v>687</v>
      </c>
      <c r="H61" s="813"/>
      <c r="I61" s="1"/>
      <c r="J61" s="1294"/>
      <c r="K61" s="1294"/>
      <c r="L61" s="1294"/>
      <c r="M61" s="1294"/>
      <c r="N61" s="1298"/>
      <c r="O61" s="1"/>
      <c r="P61" s="1269"/>
      <c r="Q61" s="1269"/>
      <c r="R61" s="1269"/>
      <c r="S61" s="484"/>
      <c r="T61" s="484"/>
      <c r="U61" s="484"/>
      <c r="V61" s="484"/>
      <c r="W61" s="484"/>
      <c r="X61" s="484"/>
      <c r="Y61" s="484"/>
      <c r="Z61" s="484"/>
      <c r="AA61" s="484"/>
      <c r="AB61" s="484"/>
      <c r="AC61" s="484"/>
      <c r="AD61" s="484"/>
      <c r="AE61" s="484"/>
      <c r="AF61" s="484"/>
      <c r="AG61" s="484"/>
      <c r="AH61" s="484"/>
      <c r="AI61" s="484"/>
      <c r="AJ61" s="484"/>
    </row>
    <row r="62" spans="1:36" ht="15" x14ac:dyDescent="0.4">
      <c r="A62" s="484"/>
      <c r="B62" s="1708"/>
      <c r="C62" s="1"/>
      <c r="D62" s="847"/>
      <c r="E62" s="1299" t="s">
        <v>936</v>
      </c>
      <c r="F62" s="393"/>
      <c r="G62" s="345" t="s">
        <v>392</v>
      </c>
      <c r="H62" s="813"/>
      <c r="I62" s="1"/>
      <c r="J62" s="1294"/>
      <c r="K62" s="1294"/>
      <c r="L62" s="1294"/>
      <c r="M62" s="1294"/>
      <c r="N62" s="1298"/>
      <c r="O62" s="1"/>
      <c r="P62" s="1129"/>
      <c r="Q62" s="1129"/>
      <c r="R62" s="1129"/>
      <c r="S62" s="484"/>
      <c r="T62" s="484"/>
      <c r="U62" s="484"/>
      <c r="V62" s="484"/>
      <c r="W62" s="484"/>
      <c r="X62" s="484"/>
      <c r="Y62" s="484"/>
      <c r="Z62" s="484"/>
      <c r="AA62" s="484"/>
      <c r="AB62" s="484"/>
      <c r="AC62" s="484"/>
      <c r="AD62" s="484"/>
      <c r="AE62" s="484"/>
      <c r="AF62" s="484"/>
      <c r="AG62" s="484"/>
      <c r="AH62" s="484"/>
      <c r="AI62" s="484"/>
      <c r="AJ62" s="484"/>
    </row>
    <row r="63" spans="1:36" ht="15" x14ac:dyDescent="0.4">
      <c r="A63" s="484"/>
      <c r="B63" s="1708"/>
      <c r="C63" s="1"/>
      <c r="D63" s="847"/>
      <c r="E63" s="1299" t="s">
        <v>983</v>
      </c>
      <c r="F63" s="393"/>
      <c r="G63" s="345" t="s">
        <v>392</v>
      </c>
      <c r="H63" s="813"/>
      <c r="I63" s="1"/>
      <c r="J63" s="1294"/>
      <c r="K63" s="1294"/>
      <c r="L63" s="1294"/>
      <c r="M63" s="1294"/>
      <c r="N63" s="1298"/>
      <c r="O63" s="1"/>
      <c r="P63" s="1129"/>
      <c r="Q63" s="1129"/>
      <c r="R63" s="1129"/>
      <c r="S63" s="484"/>
      <c r="T63" s="484"/>
      <c r="U63" s="484"/>
      <c r="V63" s="484"/>
      <c r="W63" s="484"/>
      <c r="X63" s="484"/>
      <c r="Y63" s="484"/>
      <c r="Z63" s="484"/>
      <c r="AA63" s="484"/>
      <c r="AB63" s="484"/>
      <c r="AC63" s="484"/>
      <c r="AD63" s="484"/>
      <c r="AE63" s="484"/>
      <c r="AF63" s="484"/>
      <c r="AG63" s="484"/>
      <c r="AH63" s="484"/>
      <c r="AI63" s="484"/>
      <c r="AJ63" s="484"/>
    </row>
    <row r="64" spans="1:36" ht="15" x14ac:dyDescent="0.4">
      <c r="A64" s="484"/>
      <c r="B64" s="1708"/>
      <c r="C64" s="1"/>
      <c r="D64" s="847"/>
      <c r="E64" s="1299" t="s">
        <v>939</v>
      </c>
      <c r="F64" s="393"/>
      <c r="G64" s="1285" t="s">
        <v>687</v>
      </c>
      <c r="H64" s="813"/>
      <c r="I64" s="1"/>
      <c r="J64" s="1294"/>
      <c r="K64" s="1294"/>
      <c r="L64" s="1294"/>
      <c r="M64" s="1294"/>
      <c r="N64" s="1298"/>
      <c r="O64" s="1"/>
      <c r="P64" s="1129"/>
      <c r="Q64" s="1129"/>
      <c r="R64" s="1129"/>
      <c r="S64" s="484"/>
      <c r="T64" s="484"/>
      <c r="U64" s="484"/>
      <c r="V64" s="484"/>
      <c r="W64" s="484"/>
      <c r="X64" s="484"/>
      <c r="Y64" s="484"/>
      <c r="Z64" s="484"/>
      <c r="AA64" s="484"/>
      <c r="AB64" s="484"/>
      <c r="AC64" s="484"/>
      <c r="AD64" s="484"/>
      <c r="AE64" s="484"/>
      <c r="AF64" s="484"/>
      <c r="AG64" s="484"/>
      <c r="AH64" s="484"/>
      <c r="AI64" s="484"/>
      <c r="AJ64" s="484"/>
    </row>
    <row r="65" spans="1:36" x14ac:dyDescent="0.35">
      <c r="A65" s="484"/>
      <c r="B65" s="1708"/>
      <c r="C65" s="1"/>
      <c r="D65" s="847"/>
      <c r="E65" s="837"/>
      <c r="F65" s="837"/>
      <c r="G65" s="837"/>
      <c r="H65" s="813"/>
      <c r="I65" s="1"/>
      <c r="J65" s="1294"/>
      <c r="K65" s="1294"/>
      <c r="L65" s="1294"/>
      <c r="M65" s="1294"/>
      <c r="N65" s="1298"/>
      <c r="O65" s="1"/>
      <c r="P65" s="1129"/>
      <c r="Q65" s="1129"/>
      <c r="R65" s="1129"/>
      <c r="S65" s="484"/>
      <c r="T65" s="484"/>
      <c r="U65" s="484"/>
      <c r="V65" s="484"/>
      <c r="W65" s="484"/>
      <c r="X65" s="484"/>
      <c r="Y65" s="484"/>
      <c r="Z65" s="484"/>
      <c r="AA65" s="484"/>
      <c r="AB65" s="484"/>
      <c r="AC65" s="484"/>
      <c r="AD65" s="484"/>
      <c r="AE65" s="484"/>
      <c r="AF65" s="484"/>
      <c r="AG65" s="484"/>
      <c r="AH65" s="484"/>
      <c r="AI65" s="484"/>
      <c r="AJ65" s="484"/>
    </row>
    <row r="66" spans="1:36" ht="15" customHeight="1" x14ac:dyDescent="0.35">
      <c r="A66" s="484"/>
      <c r="B66" s="1708"/>
      <c r="C66" s="1"/>
      <c r="D66" s="847"/>
      <c r="E66" s="1032" t="s">
        <v>805</v>
      </c>
      <c r="F66" s="393"/>
      <c r="G66" s="345" t="s">
        <v>804</v>
      </c>
      <c r="H66" s="813"/>
      <c r="I66" s="1"/>
      <c r="J66" s="1294"/>
      <c r="K66" s="1294"/>
      <c r="L66" s="1294"/>
      <c r="M66" s="1294"/>
      <c r="N66" s="1298"/>
      <c r="O66" s="1"/>
      <c r="P66" s="1129"/>
      <c r="Q66" s="1129"/>
      <c r="R66" s="1129"/>
      <c r="S66" s="484"/>
      <c r="T66" s="484"/>
      <c r="U66" s="484"/>
      <c r="V66" s="484"/>
      <c r="W66" s="484"/>
      <c r="X66" s="484"/>
      <c r="Y66" s="484"/>
      <c r="Z66" s="484"/>
      <c r="AA66" s="484"/>
      <c r="AB66" s="484"/>
      <c r="AC66" s="484"/>
      <c r="AD66" s="484"/>
      <c r="AE66" s="484"/>
      <c r="AF66" s="484"/>
      <c r="AG66" s="484"/>
      <c r="AH66" s="484"/>
      <c r="AI66" s="484"/>
      <c r="AJ66" s="484"/>
    </row>
    <row r="67" spans="1:36" ht="15.5" thickBot="1" x14ac:dyDescent="0.4">
      <c r="A67" s="484"/>
      <c r="B67" s="1708"/>
      <c r="C67" s="1"/>
      <c r="D67" s="847"/>
      <c r="E67" s="1032" t="s">
        <v>806</v>
      </c>
      <c r="F67" s="393"/>
      <c r="G67" s="345" t="s">
        <v>804</v>
      </c>
      <c r="H67" s="813"/>
      <c r="I67" s="1"/>
      <c r="J67" s="1294"/>
      <c r="K67" s="1294"/>
      <c r="L67" s="1294"/>
      <c r="M67" s="1294"/>
      <c r="N67" s="1298"/>
      <c r="O67" s="1"/>
      <c r="P67" s="1269"/>
      <c r="Q67" s="1269"/>
      <c r="R67" s="1269"/>
      <c r="S67" s="484"/>
      <c r="T67" s="484"/>
      <c r="U67" s="484"/>
      <c r="V67" s="484"/>
      <c r="W67" s="484"/>
      <c r="X67" s="484"/>
      <c r="Y67" s="484"/>
      <c r="Z67" s="484"/>
      <c r="AA67" s="484"/>
      <c r="AB67" s="484"/>
      <c r="AC67" s="484"/>
      <c r="AD67" s="484"/>
      <c r="AE67" s="484"/>
      <c r="AF67" s="484"/>
      <c r="AG67" s="484"/>
      <c r="AH67" s="484"/>
      <c r="AI67" s="484"/>
      <c r="AJ67" s="484"/>
    </row>
    <row r="68" spans="1:36" ht="15.5" thickBot="1" x14ac:dyDescent="0.4">
      <c r="A68" s="484"/>
      <c r="B68" s="1708"/>
      <c r="C68" s="1"/>
      <c r="D68" s="847"/>
      <c r="E68" s="816" t="s">
        <v>1173</v>
      </c>
      <c r="F68" s="449">
        <f>IFERROR(F67/F66,0)</f>
        <v>0</v>
      </c>
      <c r="G68" s="345" t="s">
        <v>807</v>
      </c>
      <c r="H68" s="813"/>
      <c r="I68" s="1"/>
      <c r="J68" s="1294"/>
      <c r="K68" s="1294"/>
      <c r="L68" s="1294"/>
      <c r="M68" s="1294"/>
      <c r="N68" s="1298"/>
      <c r="O68" s="1"/>
      <c r="P68" s="1269"/>
      <c r="Q68" s="1269"/>
      <c r="R68" s="1269"/>
      <c r="S68" s="484"/>
      <c r="T68" s="484"/>
      <c r="U68" s="484"/>
      <c r="V68" s="484"/>
      <c r="W68" s="484"/>
      <c r="X68" s="484"/>
      <c r="Y68" s="484"/>
      <c r="Z68" s="484"/>
      <c r="AA68" s="484"/>
      <c r="AB68" s="484"/>
      <c r="AC68" s="484"/>
      <c r="AD68" s="484"/>
      <c r="AE68" s="484"/>
      <c r="AF68" s="484"/>
      <c r="AG68" s="484"/>
      <c r="AH68" s="484"/>
      <c r="AI68" s="484"/>
      <c r="AJ68" s="484"/>
    </row>
    <row r="69" spans="1:36" x14ac:dyDescent="0.35">
      <c r="A69" s="484"/>
      <c r="B69" s="1708"/>
      <c r="C69" s="1"/>
      <c r="D69" s="847"/>
      <c r="E69" s="344"/>
      <c r="F69" s="12"/>
      <c r="G69" s="11"/>
      <c r="H69" s="813"/>
      <c r="I69" s="1"/>
      <c r="J69" s="1294"/>
      <c r="K69" s="1294"/>
      <c r="L69" s="1294"/>
      <c r="M69" s="1294"/>
      <c r="N69" s="1298"/>
      <c r="O69" s="1"/>
      <c r="P69" s="1269"/>
      <c r="Q69" s="1269"/>
      <c r="R69" s="1269"/>
      <c r="S69" s="484"/>
      <c r="T69" s="484"/>
      <c r="U69" s="484"/>
      <c r="V69" s="484"/>
      <c r="W69" s="484"/>
      <c r="X69" s="484"/>
      <c r="Y69" s="484"/>
      <c r="Z69" s="484"/>
      <c r="AA69" s="484"/>
      <c r="AB69" s="484"/>
      <c r="AC69" s="484"/>
      <c r="AD69" s="484"/>
      <c r="AE69" s="484"/>
      <c r="AF69" s="484"/>
      <c r="AG69" s="484"/>
      <c r="AH69" s="484"/>
      <c r="AI69" s="484"/>
      <c r="AJ69" s="484"/>
    </row>
    <row r="70" spans="1:36" x14ac:dyDescent="0.35">
      <c r="A70" s="484"/>
      <c r="B70" s="1708"/>
      <c r="C70" s="1"/>
      <c r="D70" s="847"/>
      <c r="E70" s="1286" t="s">
        <v>816</v>
      </c>
      <c r="F70" s="12"/>
      <c r="G70" s="344"/>
      <c r="H70" s="813"/>
      <c r="I70" s="1"/>
      <c r="J70" s="1294"/>
      <c r="K70" s="1294"/>
      <c r="L70" s="1294"/>
      <c r="M70" s="1294"/>
      <c r="N70" s="1298"/>
      <c r="O70" s="1"/>
      <c r="P70" s="1269"/>
      <c r="Q70" s="1269"/>
      <c r="R70" s="1269"/>
      <c r="S70" s="484"/>
      <c r="T70" s="484"/>
      <c r="U70" s="484"/>
      <c r="V70" s="484"/>
      <c r="W70" s="484"/>
      <c r="X70" s="484"/>
      <c r="Y70" s="484"/>
      <c r="Z70" s="484"/>
      <c r="AA70" s="484"/>
      <c r="AB70" s="484"/>
      <c r="AC70" s="484"/>
      <c r="AD70" s="484"/>
      <c r="AE70" s="484"/>
      <c r="AF70" s="484"/>
      <c r="AG70" s="484"/>
      <c r="AH70" s="484"/>
      <c r="AI70" s="484"/>
      <c r="AJ70" s="484"/>
    </row>
    <row r="71" spans="1:36" x14ac:dyDescent="0.35">
      <c r="A71" s="484"/>
      <c r="B71" s="1708"/>
      <c r="C71" s="1"/>
      <c r="D71" s="847"/>
      <c r="E71" s="1287" t="s">
        <v>1050</v>
      </c>
      <c r="F71" s="347"/>
      <c r="G71" s="1285" t="s">
        <v>687</v>
      </c>
      <c r="H71" s="813"/>
      <c r="I71" s="1"/>
      <c r="J71" s="1294"/>
      <c r="K71" s="1294"/>
      <c r="L71" s="1294"/>
      <c r="M71" s="1294"/>
      <c r="N71" s="1298"/>
      <c r="O71" s="1"/>
      <c r="P71" s="1269"/>
      <c r="Q71" s="1269"/>
      <c r="R71" s="1269"/>
      <c r="S71" s="484"/>
      <c r="T71" s="484"/>
      <c r="U71" s="484"/>
      <c r="V71" s="484"/>
      <c r="W71" s="484"/>
      <c r="X71" s="484"/>
      <c r="Y71" s="484"/>
      <c r="Z71" s="484"/>
      <c r="AA71" s="484"/>
      <c r="AB71" s="484"/>
      <c r="AC71" s="484"/>
      <c r="AD71" s="484"/>
      <c r="AE71" s="484"/>
      <c r="AF71" s="484"/>
      <c r="AG71" s="484"/>
      <c r="AH71" s="484"/>
      <c r="AI71" s="484"/>
      <c r="AJ71" s="484"/>
    </row>
    <row r="72" spans="1:36" x14ac:dyDescent="0.35">
      <c r="A72" s="484"/>
      <c r="B72" s="1708"/>
      <c r="C72" s="1"/>
      <c r="D72" s="847"/>
      <c r="E72" s="344" t="s">
        <v>793</v>
      </c>
      <c r="F72" s="358"/>
      <c r="G72" s="345" t="s">
        <v>401</v>
      </c>
      <c r="H72" s="813"/>
      <c r="I72" s="1"/>
      <c r="J72" s="1294"/>
      <c r="K72" s="1294"/>
      <c r="L72" s="1294"/>
      <c r="M72" s="1294"/>
      <c r="N72" s="1298"/>
      <c r="O72" s="1"/>
      <c r="P72" s="1269"/>
      <c r="Q72" s="1269"/>
      <c r="R72" s="1269"/>
      <c r="S72" s="484"/>
      <c r="T72" s="484"/>
      <c r="U72" s="484"/>
      <c r="V72" s="484"/>
      <c r="W72" s="484"/>
      <c r="X72" s="484"/>
      <c r="Y72" s="484"/>
      <c r="Z72" s="484"/>
      <c r="AA72" s="484"/>
      <c r="AB72" s="484"/>
      <c r="AC72" s="484"/>
      <c r="AD72" s="484"/>
      <c r="AE72" s="484"/>
      <c r="AF72" s="484"/>
      <c r="AG72" s="484"/>
      <c r="AH72" s="484"/>
      <c r="AI72" s="484"/>
      <c r="AJ72" s="484"/>
    </row>
    <row r="73" spans="1:36" x14ac:dyDescent="0.35">
      <c r="A73" s="484"/>
      <c r="B73" s="1708"/>
      <c r="C73" s="1"/>
      <c r="D73" s="856"/>
      <c r="E73" s="818"/>
      <c r="F73" s="819"/>
      <c r="G73" s="947"/>
      <c r="H73" s="841"/>
      <c r="I73" s="1"/>
      <c r="J73" s="1294"/>
      <c r="K73" s="1294"/>
      <c r="L73" s="1294"/>
      <c r="M73" s="1294"/>
      <c r="N73" s="1298"/>
      <c r="O73" s="1"/>
      <c r="P73" s="1269"/>
      <c r="Q73" s="1269"/>
      <c r="R73" s="1269"/>
      <c r="S73" s="484"/>
      <c r="T73" s="484"/>
      <c r="U73" s="484"/>
      <c r="V73" s="484"/>
      <c r="W73" s="484"/>
      <c r="X73" s="484"/>
      <c r="Y73" s="484"/>
      <c r="Z73" s="484"/>
      <c r="AA73" s="484"/>
      <c r="AB73" s="484"/>
      <c r="AC73" s="484"/>
      <c r="AD73" s="484"/>
      <c r="AE73" s="484"/>
      <c r="AF73" s="484"/>
      <c r="AG73" s="484"/>
      <c r="AH73" s="484"/>
      <c r="AI73" s="484"/>
      <c r="AJ73" s="484"/>
    </row>
    <row r="74" spans="1:36" x14ac:dyDescent="0.35">
      <c r="A74" s="484"/>
      <c r="B74" s="1"/>
      <c r="C74" s="1"/>
      <c r="D74" s="1"/>
      <c r="E74" s="8"/>
      <c r="F74" s="64"/>
      <c r="G74" s="8"/>
      <c r="H74" s="8"/>
      <c r="I74" s="1"/>
      <c r="J74" s="1"/>
      <c r="K74" s="1"/>
      <c r="L74" s="1"/>
      <c r="M74" s="1"/>
      <c r="N74" s="744"/>
      <c r="O74" s="1"/>
      <c r="P74" s="1"/>
      <c r="Q74" s="1"/>
      <c r="R74" s="1"/>
      <c r="S74" s="484"/>
      <c r="T74" s="484"/>
      <c r="U74" s="484"/>
      <c r="V74" s="484"/>
      <c r="W74" s="484"/>
      <c r="X74" s="484"/>
      <c r="Y74" s="484"/>
      <c r="Z74" s="484"/>
      <c r="AA74" s="484"/>
      <c r="AB74" s="484"/>
      <c r="AC74" s="484"/>
      <c r="AD74" s="484"/>
      <c r="AE74" s="484"/>
      <c r="AF74" s="484"/>
      <c r="AG74" s="484"/>
      <c r="AH74" s="484"/>
      <c r="AI74" s="484"/>
      <c r="AJ74" s="484"/>
    </row>
    <row r="75" spans="1:36" x14ac:dyDescent="0.35">
      <c r="A75" s="484"/>
      <c r="B75" s="1663" t="s">
        <v>981</v>
      </c>
      <c r="C75" s="1"/>
      <c r="D75" s="1656" t="s">
        <v>815</v>
      </c>
      <c r="E75" s="1657"/>
      <c r="F75" s="1657"/>
      <c r="G75" s="1657"/>
      <c r="H75" s="1658"/>
      <c r="I75" s="1"/>
      <c r="J75" s="1788"/>
      <c r="K75" s="1788"/>
      <c r="L75" s="1788"/>
      <c r="M75" s="1788"/>
      <c r="N75" s="1788"/>
      <c r="O75" s="1"/>
      <c r="P75" s="1127" t="str">
        <f>HYPERLINK("https://living-future.org/declare/","Declare")</f>
        <v>Declare</v>
      </c>
      <c r="Q75" s="1088"/>
      <c r="R75" s="1088"/>
      <c r="S75" s="484"/>
      <c r="T75" s="484"/>
      <c r="U75" s="484"/>
      <c r="V75" s="484"/>
      <c r="W75" s="484"/>
      <c r="X75" s="484"/>
      <c r="Y75" s="484"/>
      <c r="Z75" s="484"/>
      <c r="AA75" s="484"/>
      <c r="AB75" s="484"/>
      <c r="AC75" s="484"/>
      <c r="AD75" s="484"/>
      <c r="AE75" s="484"/>
      <c r="AF75" s="484"/>
      <c r="AG75" s="484"/>
      <c r="AH75" s="484"/>
      <c r="AI75" s="484"/>
      <c r="AJ75" s="484"/>
    </row>
    <row r="76" spans="1:36" x14ac:dyDescent="0.35">
      <c r="A76" s="484"/>
      <c r="B76" s="1663"/>
      <c r="C76" s="1"/>
      <c r="D76" s="1089"/>
      <c r="E76" s="1300"/>
      <c r="F76" s="1301"/>
      <c r="G76" s="1262"/>
      <c r="H76" s="1189"/>
      <c r="I76" s="1"/>
      <c r="J76" s="1788"/>
      <c r="K76" s="1788"/>
      <c r="L76" s="1788"/>
      <c r="M76" s="1788"/>
      <c r="N76" s="1788"/>
      <c r="O76" s="1"/>
      <c r="P76" s="1127" t="str">
        <f>HYPERLINK("https://www.hpd-collaborative.org/","HPD Collaborative")</f>
        <v>HPD Collaborative</v>
      </c>
      <c r="Q76" s="1088"/>
      <c r="R76" s="1088"/>
      <c r="S76" s="484"/>
      <c r="T76" s="484"/>
      <c r="U76" s="484"/>
      <c r="V76" s="484"/>
      <c r="W76" s="484"/>
      <c r="X76" s="484"/>
      <c r="Y76" s="484"/>
      <c r="Z76" s="484"/>
      <c r="AA76" s="484"/>
      <c r="AB76" s="484"/>
      <c r="AC76" s="484"/>
      <c r="AD76" s="484"/>
      <c r="AE76" s="484"/>
      <c r="AF76" s="484"/>
      <c r="AG76" s="484"/>
      <c r="AH76" s="484"/>
      <c r="AI76" s="484"/>
      <c r="AJ76" s="484"/>
    </row>
    <row r="77" spans="1:36" x14ac:dyDescent="0.35">
      <c r="A77" s="484"/>
      <c r="B77" s="1663"/>
      <c r="C77" s="1"/>
      <c r="D77" s="1091"/>
      <c r="E77" s="1302" t="s">
        <v>906</v>
      </c>
      <c r="F77" s="1303" t="s">
        <v>798</v>
      </c>
      <c r="G77" s="1264"/>
      <c r="H77" s="880"/>
      <c r="I77" s="1"/>
      <c r="J77" s="1788"/>
      <c r="K77" s="1788"/>
      <c r="L77" s="1788"/>
      <c r="M77" s="1788"/>
      <c r="N77" s="1788"/>
      <c r="O77" s="1"/>
      <c r="P77" s="1088" t="s">
        <v>801</v>
      </c>
      <c r="Q77" s="1088"/>
      <c r="R77" s="1088"/>
      <c r="S77" s="484"/>
      <c r="T77" s="484"/>
      <c r="U77" s="484"/>
      <c r="V77" s="484"/>
      <c r="W77" s="484"/>
      <c r="X77" s="484"/>
      <c r="Y77" s="484"/>
      <c r="Z77" s="484"/>
      <c r="AA77" s="484"/>
      <c r="AB77" s="484"/>
      <c r="AC77" s="484"/>
      <c r="AD77" s="484"/>
      <c r="AE77" s="484"/>
      <c r="AF77" s="484"/>
      <c r="AG77" s="484"/>
      <c r="AH77" s="484"/>
      <c r="AI77" s="484"/>
      <c r="AJ77" s="484"/>
    </row>
    <row r="78" spans="1:36" x14ac:dyDescent="0.35">
      <c r="A78" s="484"/>
      <c r="B78" s="1663"/>
      <c r="C78" s="1"/>
      <c r="D78" s="1091"/>
      <c r="E78" s="1219" t="s">
        <v>799</v>
      </c>
      <c r="F78" s="358"/>
      <c r="G78" s="1212"/>
      <c r="H78" s="880"/>
      <c r="I78" s="1"/>
      <c r="J78" s="1788"/>
      <c r="K78" s="1788"/>
      <c r="L78" s="1788"/>
      <c r="M78" s="1788"/>
      <c r="N78" s="1788"/>
      <c r="O78" s="1"/>
      <c r="P78" s="1088" t="s">
        <v>802</v>
      </c>
      <c r="Q78" s="1088"/>
      <c r="R78" s="1088"/>
      <c r="S78" s="484"/>
      <c r="T78" s="484"/>
      <c r="U78" s="484"/>
      <c r="V78" s="484"/>
      <c r="W78" s="484"/>
      <c r="X78" s="484"/>
      <c r="Y78" s="484"/>
      <c r="Z78" s="484"/>
      <c r="AA78" s="484"/>
      <c r="AB78" s="484"/>
      <c r="AC78" s="484"/>
      <c r="AD78" s="484"/>
      <c r="AE78" s="484"/>
      <c r="AF78" s="484"/>
      <c r="AG78" s="484"/>
      <c r="AH78" s="484"/>
      <c r="AI78" s="484"/>
      <c r="AJ78" s="484"/>
    </row>
    <row r="79" spans="1:36" x14ac:dyDescent="0.35">
      <c r="A79" s="484"/>
      <c r="B79" s="1663"/>
      <c r="C79" s="1"/>
      <c r="D79" s="1091"/>
      <c r="E79" s="1219" t="s">
        <v>800</v>
      </c>
      <c r="F79" s="358"/>
      <c r="G79" s="1212"/>
      <c r="H79" s="880"/>
      <c r="I79" s="1"/>
      <c r="J79" s="1788"/>
      <c r="K79" s="1788"/>
      <c r="L79" s="1788"/>
      <c r="M79" s="1788"/>
      <c r="N79" s="1788"/>
      <c r="O79" s="1"/>
      <c r="P79" s="1088" t="s">
        <v>803</v>
      </c>
      <c r="Q79" s="1088"/>
      <c r="R79" s="1088"/>
      <c r="S79" s="484"/>
      <c r="T79" s="484"/>
      <c r="U79" s="484"/>
      <c r="V79" s="484"/>
      <c r="W79" s="484"/>
      <c r="X79" s="484"/>
      <c r="Y79" s="484"/>
      <c r="Z79" s="484"/>
      <c r="AA79" s="484"/>
      <c r="AB79" s="484"/>
      <c r="AC79" s="484"/>
      <c r="AD79" s="484"/>
      <c r="AE79" s="484"/>
      <c r="AF79" s="484"/>
      <c r="AG79" s="484"/>
      <c r="AH79" s="484"/>
      <c r="AI79" s="484"/>
      <c r="AJ79" s="484"/>
    </row>
    <row r="80" spans="1:36" x14ac:dyDescent="0.35">
      <c r="A80" s="484"/>
      <c r="B80" s="1663"/>
      <c r="C80" s="1"/>
      <c r="D80" s="1091"/>
      <c r="E80" s="1219" t="s">
        <v>801</v>
      </c>
      <c r="F80" s="358"/>
      <c r="G80" s="1219"/>
      <c r="H80" s="880"/>
      <c r="I80" s="1"/>
      <c r="J80" s="1788"/>
      <c r="K80" s="1788"/>
      <c r="L80" s="1788"/>
      <c r="M80" s="1788"/>
      <c r="N80" s="1788"/>
      <c r="O80" s="1"/>
      <c r="P80" s="1088" t="s">
        <v>814</v>
      </c>
      <c r="Q80" s="1088"/>
      <c r="R80" s="1088"/>
      <c r="S80" s="484"/>
      <c r="T80" s="484"/>
      <c r="U80" s="484"/>
      <c r="V80" s="484"/>
      <c r="W80" s="484"/>
      <c r="X80" s="484"/>
      <c r="Y80" s="484"/>
      <c r="Z80" s="484"/>
      <c r="AA80" s="484"/>
      <c r="AB80" s="484"/>
      <c r="AC80" s="484"/>
      <c r="AD80" s="484"/>
      <c r="AE80" s="484"/>
      <c r="AF80" s="484"/>
      <c r="AG80" s="484"/>
      <c r="AH80" s="484"/>
      <c r="AI80" s="484"/>
      <c r="AJ80" s="484"/>
    </row>
    <row r="81" spans="1:36" x14ac:dyDescent="0.35">
      <c r="A81" s="484"/>
      <c r="B81" s="1663"/>
      <c r="C81" s="1"/>
      <c r="D81" s="1091"/>
      <c r="E81" s="1219" t="s">
        <v>802</v>
      </c>
      <c r="F81" s="358"/>
      <c r="G81" s="1219"/>
      <c r="H81" s="880"/>
      <c r="I81" s="1"/>
      <c r="J81" s="1788"/>
      <c r="K81" s="1788"/>
      <c r="L81" s="1788"/>
      <c r="M81" s="1788"/>
      <c r="N81" s="1788"/>
      <c r="O81" s="1"/>
      <c r="P81" s="1088"/>
      <c r="Q81" s="1088"/>
      <c r="R81" s="1088"/>
      <c r="S81" s="484"/>
      <c r="T81" s="484"/>
      <c r="U81" s="484"/>
      <c r="V81" s="484"/>
      <c r="W81" s="484"/>
      <c r="X81" s="484"/>
      <c r="Y81" s="484"/>
      <c r="Z81" s="484"/>
      <c r="AA81" s="484"/>
      <c r="AB81" s="484"/>
      <c r="AC81" s="484"/>
      <c r="AD81" s="484"/>
      <c r="AE81" s="484"/>
      <c r="AF81" s="484"/>
      <c r="AG81" s="484"/>
      <c r="AH81" s="484"/>
      <c r="AI81" s="484"/>
      <c r="AJ81" s="484"/>
    </row>
    <row r="82" spans="1:36" x14ac:dyDescent="0.35">
      <c r="A82" s="484"/>
      <c r="B82" s="1663"/>
      <c r="C82" s="1"/>
      <c r="D82" s="1091"/>
      <c r="E82" s="1219" t="s">
        <v>1049</v>
      </c>
      <c r="F82" s="358"/>
      <c r="G82" s="1219"/>
      <c r="H82" s="880"/>
      <c r="I82" s="1"/>
      <c r="J82" s="1088"/>
      <c r="K82" s="1088"/>
      <c r="L82" s="1088"/>
      <c r="M82" s="1088"/>
      <c r="N82" s="1292"/>
      <c r="O82" s="1"/>
      <c r="P82" s="1088"/>
      <c r="Q82" s="1088"/>
      <c r="R82" s="1088"/>
      <c r="S82" s="484"/>
      <c r="T82" s="484"/>
      <c r="U82" s="484"/>
      <c r="V82" s="484"/>
      <c r="W82" s="484"/>
      <c r="X82" s="484"/>
      <c r="Y82" s="484"/>
      <c r="Z82" s="484"/>
      <c r="AA82" s="484"/>
      <c r="AB82" s="484"/>
      <c r="AC82" s="484"/>
      <c r="AD82" s="484"/>
      <c r="AE82" s="484"/>
      <c r="AF82" s="484"/>
      <c r="AG82" s="484"/>
      <c r="AH82" s="484"/>
      <c r="AI82" s="484"/>
      <c r="AJ82" s="484"/>
    </row>
    <row r="83" spans="1:36" x14ac:dyDescent="0.35">
      <c r="A83" s="484"/>
      <c r="B83" s="1663"/>
      <c r="C83" s="1"/>
      <c r="D83" s="1091"/>
      <c r="E83" s="1219" t="s">
        <v>814</v>
      </c>
      <c r="F83" s="358"/>
      <c r="G83" s="1219"/>
      <c r="H83" s="880"/>
      <c r="I83" s="1"/>
      <c r="J83" s="1088"/>
      <c r="K83" s="1088"/>
      <c r="L83" s="1088"/>
      <c r="M83" s="1088"/>
      <c r="N83" s="1292"/>
      <c r="O83" s="1"/>
      <c r="P83" s="1088" t="s">
        <v>818</v>
      </c>
      <c r="Q83" s="1088"/>
      <c r="R83" s="1088"/>
      <c r="S83" s="484"/>
      <c r="T83" s="484"/>
      <c r="U83" s="484"/>
      <c r="V83" s="484"/>
      <c r="W83" s="484"/>
      <c r="X83" s="484"/>
      <c r="Y83" s="484"/>
      <c r="Z83" s="484"/>
      <c r="AA83" s="484"/>
      <c r="AB83" s="484"/>
      <c r="AC83" s="484"/>
      <c r="AD83" s="484"/>
      <c r="AE83" s="484"/>
      <c r="AF83" s="484"/>
      <c r="AG83" s="484"/>
      <c r="AH83" s="484"/>
      <c r="AI83" s="484"/>
      <c r="AJ83" s="484"/>
    </row>
    <row r="84" spans="1:36" x14ac:dyDescent="0.35">
      <c r="A84" s="484"/>
      <c r="B84" s="1663"/>
      <c r="C84" s="1"/>
      <c r="D84" s="1091"/>
      <c r="E84" s="448" t="s">
        <v>189</v>
      </c>
      <c r="F84" s="358"/>
      <c r="G84" s="1219"/>
      <c r="H84" s="880"/>
      <c r="I84" s="1"/>
      <c r="J84" s="1088"/>
      <c r="K84" s="1088"/>
      <c r="L84" s="1088"/>
      <c r="M84" s="1088"/>
      <c r="N84" s="1292"/>
      <c r="O84" s="1"/>
      <c r="P84" s="1088" t="s">
        <v>819</v>
      </c>
      <c r="Q84" s="1088"/>
      <c r="R84" s="1088"/>
      <c r="S84" s="484"/>
      <c r="T84" s="484"/>
      <c r="U84" s="484"/>
      <c r="V84" s="484"/>
      <c r="W84" s="484"/>
      <c r="X84" s="484"/>
      <c r="Y84" s="484"/>
      <c r="Z84" s="484"/>
      <c r="AA84" s="484"/>
      <c r="AB84" s="484"/>
      <c r="AC84" s="484"/>
      <c r="AD84" s="484"/>
      <c r="AE84" s="484"/>
      <c r="AF84" s="484"/>
      <c r="AG84" s="484"/>
      <c r="AH84" s="484"/>
      <c r="AI84" s="484"/>
      <c r="AJ84" s="484"/>
    </row>
    <row r="85" spans="1:36" x14ac:dyDescent="0.35">
      <c r="A85" s="484"/>
      <c r="B85" s="1663"/>
      <c r="C85" s="1"/>
      <c r="D85" s="1091"/>
      <c r="E85" s="448" t="s">
        <v>189</v>
      </c>
      <c r="F85" s="358"/>
      <c r="G85" s="1219"/>
      <c r="H85" s="880"/>
      <c r="I85" s="1"/>
      <c r="J85" s="1088"/>
      <c r="K85" s="1088"/>
      <c r="L85" s="1088"/>
      <c r="M85" s="1088"/>
      <c r="N85" s="1292"/>
      <c r="O85" s="1"/>
      <c r="P85" s="1088" t="s">
        <v>820</v>
      </c>
      <c r="Q85" s="1088"/>
      <c r="R85" s="1088"/>
      <c r="S85" s="484"/>
      <c r="T85" s="484"/>
      <c r="U85" s="484"/>
      <c r="V85" s="484"/>
      <c r="W85" s="484"/>
      <c r="X85" s="484"/>
      <c r="Y85" s="484"/>
      <c r="Z85" s="484"/>
      <c r="AA85" s="484"/>
      <c r="AB85" s="484"/>
      <c r="AC85" s="484"/>
      <c r="AD85" s="484"/>
      <c r="AE85" s="484"/>
      <c r="AF85" s="484"/>
      <c r="AG85" s="484"/>
      <c r="AH85" s="484"/>
      <c r="AI85" s="484"/>
      <c r="AJ85" s="484"/>
    </row>
    <row r="86" spans="1:36" ht="15" thickBot="1" x14ac:dyDescent="0.4">
      <c r="A86" s="484"/>
      <c r="B86" s="1663"/>
      <c r="C86" s="1"/>
      <c r="D86" s="1091"/>
      <c r="E86" s="448" t="s">
        <v>189</v>
      </c>
      <c r="F86" s="16"/>
      <c r="G86" s="1304"/>
      <c r="H86" s="880"/>
      <c r="I86" s="1"/>
      <c r="J86" s="1088"/>
      <c r="K86" s="1088"/>
      <c r="L86" s="1088"/>
      <c r="M86" s="1088"/>
      <c r="N86" s="1292"/>
      <c r="O86" s="1"/>
      <c r="P86" s="1088" t="s">
        <v>821</v>
      </c>
      <c r="Q86" s="1088"/>
      <c r="R86" s="1088"/>
      <c r="S86" s="484"/>
      <c r="T86" s="484"/>
      <c r="U86" s="484"/>
      <c r="V86" s="484"/>
      <c r="W86" s="484"/>
      <c r="X86" s="484"/>
      <c r="Y86" s="484"/>
      <c r="Z86" s="484"/>
      <c r="AA86" s="484"/>
      <c r="AB86" s="484"/>
      <c r="AC86" s="484"/>
      <c r="AD86" s="484"/>
      <c r="AE86" s="484"/>
      <c r="AF86" s="484"/>
      <c r="AG86" s="484"/>
      <c r="AH86" s="484"/>
      <c r="AI86" s="484"/>
      <c r="AJ86" s="484"/>
    </row>
    <row r="87" spans="1:36" ht="15" thickBot="1" x14ac:dyDescent="0.4">
      <c r="A87" s="484"/>
      <c r="B87" s="1663"/>
      <c r="C87" s="1"/>
      <c r="D87" s="1091"/>
      <c r="E87" s="874" t="s">
        <v>907</v>
      </c>
      <c r="F87" s="1305">
        <f>SUM(F78:F86)</f>
        <v>0</v>
      </c>
      <c r="G87" s="1264"/>
      <c r="H87" s="880"/>
      <c r="I87" s="1"/>
      <c r="J87" s="1088"/>
      <c r="K87" s="1088"/>
      <c r="L87" s="1088" t="s">
        <v>405</v>
      </c>
      <c r="M87" s="1088"/>
      <c r="N87" s="1292"/>
      <c r="O87" s="1"/>
      <c r="P87" s="1088" t="s">
        <v>822</v>
      </c>
      <c r="Q87" s="1088"/>
      <c r="R87" s="1088"/>
      <c r="S87" s="484"/>
      <c r="T87" s="484"/>
      <c r="U87" s="484"/>
      <c r="V87" s="484"/>
      <c r="W87" s="484"/>
      <c r="X87" s="484"/>
      <c r="Y87" s="484"/>
      <c r="Z87" s="484"/>
      <c r="AA87" s="484"/>
      <c r="AB87" s="484"/>
      <c r="AC87" s="484"/>
      <c r="AD87" s="484"/>
      <c r="AE87" s="484"/>
      <c r="AF87" s="484"/>
      <c r="AG87" s="484"/>
      <c r="AH87" s="484"/>
      <c r="AI87" s="484"/>
      <c r="AJ87" s="484"/>
    </row>
    <row r="88" spans="1:36" x14ac:dyDescent="0.35">
      <c r="A88" s="484"/>
      <c r="B88" s="1663"/>
      <c r="C88" s="1"/>
      <c r="D88" s="1091"/>
      <c r="E88" s="1304"/>
      <c r="F88" s="1514"/>
      <c r="G88" s="1304"/>
      <c r="H88" s="880"/>
      <c r="I88" s="1"/>
      <c r="J88" s="1088"/>
      <c r="K88" s="1088"/>
      <c r="L88" s="1088"/>
      <c r="M88" s="1088"/>
      <c r="N88" s="1292"/>
      <c r="O88" s="1"/>
      <c r="P88" s="1088" t="s">
        <v>823</v>
      </c>
      <c r="Q88" s="1088"/>
      <c r="R88" s="1088"/>
      <c r="S88" s="484"/>
      <c r="T88" s="484"/>
      <c r="U88" s="484"/>
      <c r="V88" s="484"/>
      <c r="W88" s="484"/>
      <c r="X88" s="484"/>
      <c r="Y88" s="484"/>
      <c r="Z88" s="484"/>
      <c r="AA88" s="484"/>
      <c r="AB88" s="484"/>
      <c r="AC88" s="484"/>
      <c r="AD88" s="484"/>
      <c r="AE88" s="484"/>
      <c r="AF88" s="484"/>
      <c r="AG88" s="484"/>
      <c r="AH88" s="484"/>
      <c r="AI88" s="484"/>
      <c r="AJ88" s="484"/>
    </row>
    <row r="89" spans="1:36" x14ac:dyDescent="0.35">
      <c r="A89" s="484"/>
      <c r="B89" s="1663"/>
      <c r="C89" s="1"/>
      <c r="D89" s="1091"/>
      <c r="E89" s="1304"/>
      <c r="F89" s="1514"/>
      <c r="G89" s="1304"/>
      <c r="H89" s="880"/>
      <c r="I89" s="1"/>
      <c r="J89" s="1088"/>
      <c r="K89" s="1088"/>
      <c r="L89" s="1088"/>
      <c r="M89" s="1088"/>
      <c r="N89" s="1292"/>
      <c r="O89" s="1"/>
      <c r="P89" s="1088"/>
      <c r="Q89" s="1088"/>
      <c r="R89" s="1088"/>
      <c r="S89" s="484"/>
      <c r="T89" s="484"/>
      <c r="U89" s="484"/>
      <c r="V89" s="484"/>
      <c r="W89" s="484"/>
      <c r="X89" s="484"/>
      <c r="Y89" s="484"/>
      <c r="Z89" s="484"/>
      <c r="AA89" s="484"/>
      <c r="AB89" s="484"/>
      <c r="AC89" s="484"/>
      <c r="AD89" s="484"/>
      <c r="AE89" s="484"/>
      <c r="AF89" s="484"/>
      <c r="AG89" s="484"/>
      <c r="AH89" s="484"/>
      <c r="AI89" s="484"/>
      <c r="AJ89" s="484"/>
    </row>
    <row r="90" spans="1:36" x14ac:dyDescent="0.35">
      <c r="A90" s="484"/>
      <c r="B90" s="1663"/>
      <c r="C90" s="1"/>
      <c r="D90" s="1091"/>
      <c r="E90" s="1306" t="s">
        <v>817</v>
      </c>
      <c r="F90" s="347"/>
      <c r="G90" s="1307" t="s">
        <v>687</v>
      </c>
      <c r="H90" s="880"/>
      <c r="I90" s="1"/>
      <c r="J90" s="1088"/>
      <c r="K90" s="1088"/>
      <c r="L90" s="1088"/>
      <c r="M90" s="1088"/>
      <c r="N90" s="1292"/>
      <c r="O90" s="1"/>
      <c r="P90" s="1088"/>
      <c r="Q90" s="1088"/>
      <c r="R90" s="1088"/>
      <c r="S90" s="484"/>
      <c r="T90" s="484"/>
      <c r="U90" s="484"/>
      <c r="V90" s="484"/>
      <c r="W90" s="484"/>
      <c r="X90" s="484"/>
      <c r="Y90" s="484"/>
      <c r="Z90" s="484"/>
      <c r="AA90" s="484"/>
      <c r="AB90" s="484"/>
      <c r="AC90" s="484"/>
      <c r="AD90" s="484"/>
      <c r="AE90" s="484"/>
      <c r="AF90" s="484"/>
      <c r="AG90" s="484"/>
      <c r="AH90" s="484"/>
      <c r="AI90" s="484"/>
      <c r="AJ90" s="484"/>
    </row>
    <row r="91" spans="1:36" x14ac:dyDescent="0.35">
      <c r="A91" s="484"/>
      <c r="B91" s="1663"/>
      <c r="C91" s="1"/>
      <c r="D91" s="1091"/>
      <c r="E91" s="1304"/>
      <c r="F91" s="1514"/>
      <c r="G91" s="1304"/>
      <c r="H91" s="880"/>
      <c r="I91" s="1"/>
      <c r="J91" s="1088"/>
      <c r="K91" s="1088"/>
      <c r="L91" s="1088"/>
      <c r="M91" s="1088"/>
      <c r="N91" s="1292"/>
      <c r="O91" s="1"/>
      <c r="P91" s="1088"/>
      <c r="Q91" s="1088"/>
      <c r="R91" s="1088"/>
      <c r="S91" s="484"/>
      <c r="T91" s="484"/>
      <c r="U91" s="484"/>
      <c r="V91" s="484"/>
      <c r="W91" s="484"/>
      <c r="X91" s="484"/>
      <c r="Y91" s="484"/>
      <c r="Z91" s="484"/>
      <c r="AA91" s="484"/>
      <c r="AB91" s="484"/>
      <c r="AC91" s="484"/>
      <c r="AD91" s="484"/>
      <c r="AE91" s="484"/>
      <c r="AF91" s="484"/>
      <c r="AG91" s="484"/>
      <c r="AH91" s="484"/>
      <c r="AI91" s="484"/>
      <c r="AJ91" s="484"/>
    </row>
    <row r="92" spans="1:36" x14ac:dyDescent="0.35">
      <c r="A92" s="484"/>
      <c r="B92" s="1663"/>
      <c r="C92" s="1"/>
      <c r="D92" s="1091"/>
      <c r="E92" s="1302" t="s">
        <v>982</v>
      </c>
      <c r="F92" s="1303"/>
      <c r="G92" s="1304"/>
      <c r="H92" s="880"/>
      <c r="I92" s="1"/>
      <c r="J92" s="1088"/>
      <c r="K92" s="1088"/>
      <c r="L92" s="1088"/>
      <c r="M92" s="1088"/>
      <c r="N92" s="1292"/>
      <c r="O92" s="1"/>
      <c r="P92" s="1088"/>
      <c r="Q92" s="1088"/>
      <c r="R92" s="1088"/>
      <c r="S92" s="484"/>
      <c r="T92" s="484"/>
      <c r="U92" s="484"/>
      <c r="V92" s="484"/>
      <c r="W92" s="484"/>
      <c r="X92" s="484"/>
      <c r="Y92" s="484"/>
      <c r="Z92" s="484"/>
      <c r="AA92" s="484"/>
      <c r="AB92" s="484"/>
      <c r="AC92" s="484"/>
      <c r="AD92" s="484"/>
      <c r="AE92" s="484"/>
      <c r="AF92" s="484"/>
      <c r="AG92" s="484"/>
      <c r="AH92" s="484"/>
      <c r="AI92" s="484"/>
      <c r="AJ92" s="484"/>
    </row>
    <row r="93" spans="1:36" x14ac:dyDescent="0.35">
      <c r="A93" s="484"/>
      <c r="B93" s="1663"/>
      <c r="C93" s="1"/>
      <c r="D93" s="1091"/>
      <c r="E93" s="1219" t="s">
        <v>818</v>
      </c>
      <c r="F93" s="347"/>
      <c r="G93" s="1307" t="s">
        <v>687</v>
      </c>
      <c r="H93" s="880"/>
      <c r="I93" s="1"/>
      <c r="J93" s="1088"/>
      <c r="K93" s="1088"/>
      <c r="L93" s="1088"/>
      <c r="M93" s="1088"/>
      <c r="N93" s="1292"/>
      <c r="O93" s="1"/>
      <c r="P93" s="1088"/>
      <c r="Q93" s="1088"/>
      <c r="R93" s="1088"/>
      <c r="S93" s="484"/>
      <c r="T93" s="484"/>
      <c r="U93" s="484"/>
      <c r="V93" s="484"/>
      <c r="W93" s="484"/>
      <c r="X93" s="484"/>
      <c r="Y93" s="484"/>
      <c r="Z93" s="484"/>
      <c r="AA93" s="484"/>
      <c r="AB93" s="484"/>
      <c r="AC93" s="484"/>
      <c r="AD93" s="484"/>
      <c r="AE93" s="484"/>
      <c r="AF93" s="484"/>
      <c r="AG93" s="484"/>
      <c r="AH93" s="484"/>
      <c r="AI93" s="484"/>
      <c r="AJ93" s="484"/>
    </row>
    <row r="94" spans="1:36" x14ac:dyDescent="0.35">
      <c r="A94" s="484"/>
      <c r="B94" s="1663"/>
      <c r="C94" s="1"/>
      <c r="D94" s="1091"/>
      <c r="E94" s="1219" t="s">
        <v>819</v>
      </c>
      <c r="F94" s="347"/>
      <c r="G94" s="1307" t="s">
        <v>687</v>
      </c>
      <c r="H94" s="880"/>
      <c r="I94" s="1"/>
      <c r="J94" s="1088"/>
      <c r="K94" s="1088"/>
      <c r="L94" s="1088"/>
      <c r="M94" s="1088"/>
      <c r="N94" s="1292"/>
      <c r="O94" s="1"/>
      <c r="P94" s="1088"/>
      <c r="Q94" s="1088"/>
      <c r="R94" s="1088"/>
      <c r="S94" s="484"/>
      <c r="T94" s="484"/>
      <c r="U94" s="484"/>
      <c r="V94" s="484"/>
      <c r="W94" s="484"/>
      <c r="X94" s="484"/>
      <c r="Y94" s="484"/>
      <c r="Z94" s="484"/>
      <c r="AA94" s="484"/>
      <c r="AB94" s="484"/>
      <c r="AC94" s="484"/>
      <c r="AD94" s="484"/>
      <c r="AE94" s="484"/>
      <c r="AF94" s="484"/>
      <c r="AG94" s="484"/>
      <c r="AH94" s="484"/>
      <c r="AI94" s="484"/>
      <c r="AJ94" s="484"/>
    </row>
    <row r="95" spans="1:36" x14ac:dyDescent="0.35">
      <c r="A95" s="484"/>
      <c r="B95" s="1663"/>
      <c r="C95" s="1"/>
      <c r="D95" s="1091"/>
      <c r="E95" s="1219" t="s">
        <v>820</v>
      </c>
      <c r="F95" s="347"/>
      <c r="G95" s="1307" t="s">
        <v>687</v>
      </c>
      <c r="H95" s="880"/>
      <c r="I95" s="1"/>
      <c r="J95" s="1088"/>
      <c r="K95" s="1088"/>
      <c r="L95" s="1088"/>
      <c r="M95" s="1088"/>
      <c r="N95" s="1292"/>
      <c r="O95" s="1"/>
      <c r="P95" s="1088"/>
      <c r="Q95" s="1088"/>
      <c r="R95" s="1088"/>
      <c r="S95" s="484"/>
      <c r="T95" s="484"/>
      <c r="U95" s="484"/>
      <c r="V95" s="484"/>
      <c r="W95" s="484"/>
      <c r="X95" s="484"/>
      <c r="Y95" s="484"/>
      <c r="Z95" s="484"/>
      <c r="AA95" s="484"/>
      <c r="AB95" s="484"/>
      <c r="AC95" s="484"/>
      <c r="AD95" s="484"/>
      <c r="AE95" s="484"/>
      <c r="AF95" s="484"/>
      <c r="AG95" s="484"/>
      <c r="AH95" s="484"/>
      <c r="AI95" s="484"/>
      <c r="AJ95" s="484"/>
    </row>
    <row r="96" spans="1:36" x14ac:dyDescent="0.35">
      <c r="A96" s="484"/>
      <c r="B96" s="1663"/>
      <c r="C96" s="1"/>
      <c r="D96" s="775"/>
      <c r="E96" s="1219" t="s">
        <v>821</v>
      </c>
      <c r="F96" s="347"/>
      <c r="G96" s="1307" t="s">
        <v>687</v>
      </c>
      <c r="H96" s="880"/>
      <c r="I96" s="1"/>
      <c r="J96" s="1088"/>
      <c r="K96" s="1088"/>
      <c r="L96" s="1088"/>
      <c r="M96" s="1088"/>
      <c r="N96" s="1292"/>
      <c r="O96" s="1"/>
      <c r="P96" s="1088"/>
      <c r="Q96" s="1088"/>
      <c r="R96" s="1088"/>
      <c r="S96" s="484"/>
      <c r="T96" s="484"/>
      <c r="U96" s="484"/>
      <c r="V96" s="484"/>
      <c r="W96" s="484"/>
      <c r="X96" s="484"/>
      <c r="Y96" s="484"/>
      <c r="Z96" s="484"/>
      <c r="AA96" s="484"/>
      <c r="AB96" s="484"/>
      <c r="AC96" s="484"/>
      <c r="AD96" s="484"/>
      <c r="AE96" s="484"/>
      <c r="AF96" s="484"/>
      <c r="AG96" s="484"/>
      <c r="AH96" s="484"/>
      <c r="AI96" s="484"/>
      <c r="AJ96" s="484"/>
    </row>
    <row r="97" spans="1:40" x14ac:dyDescent="0.35">
      <c r="A97" s="484"/>
      <c r="B97" s="1663"/>
      <c r="C97" s="1"/>
      <c r="D97" s="775"/>
      <c r="E97" s="1219" t="s">
        <v>822</v>
      </c>
      <c r="F97" s="347"/>
      <c r="G97" s="1307" t="s">
        <v>687</v>
      </c>
      <c r="H97" s="880"/>
      <c r="I97" s="1"/>
      <c r="J97" s="1088"/>
      <c r="K97" s="1088"/>
      <c r="L97" s="1088"/>
      <c r="M97" s="1088"/>
      <c r="N97" s="1292"/>
      <c r="O97" s="1"/>
      <c r="P97" s="1088"/>
      <c r="Q97" s="1088"/>
      <c r="R97" s="1088"/>
      <c r="S97" s="484"/>
      <c r="T97" s="484"/>
      <c r="U97" s="484"/>
      <c r="V97" s="484"/>
      <c r="W97" s="484"/>
      <c r="X97" s="484"/>
      <c r="Y97" s="484"/>
      <c r="Z97" s="484"/>
      <c r="AA97" s="484"/>
      <c r="AB97" s="484"/>
      <c r="AC97" s="484"/>
      <c r="AD97" s="484"/>
      <c r="AE97" s="484"/>
      <c r="AF97" s="484"/>
      <c r="AG97" s="484"/>
      <c r="AH97" s="484"/>
      <c r="AI97" s="484"/>
      <c r="AJ97" s="484"/>
    </row>
    <row r="98" spans="1:40" x14ac:dyDescent="0.35">
      <c r="A98" s="484"/>
      <c r="B98" s="1663"/>
      <c r="C98" s="1"/>
      <c r="D98" s="775"/>
      <c r="E98" s="1219" t="s">
        <v>823</v>
      </c>
      <c r="F98" s="347"/>
      <c r="G98" s="1307" t="s">
        <v>687</v>
      </c>
      <c r="H98" s="880"/>
      <c r="I98" s="1"/>
      <c r="J98" s="1088"/>
      <c r="K98" s="1088"/>
      <c r="L98" s="1088"/>
      <c r="M98" s="1088"/>
      <c r="N98" s="1292"/>
      <c r="O98" s="1"/>
      <c r="P98" s="1088"/>
      <c r="Q98" s="1088"/>
      <c r="R98" s="1088"/>
      <c r="S98" s="484"/>
      <c r="T98" s="484"/>
      <c r="U98" s="484"/>
      <c r="V98" s="484"/>
      <c r="W98" s="484"/>
      <c r="X98" s="484"/>
      <c r="Y98" s="484"/>
      <c r="Z98" s="484"/>
      <c r="AA98" s="484"/>
      <c r="AB98" s="484"/>
      <c r="AC98" s="484"/>
      <c r="AD98" s="484"/>
      <c r="AE98" s="484"/>
      <c r="AF98" s="484"/>
      <c r="AG98" s="484"/>
      <c r="AH98" s="484"/>
      <c r="AI98" s="484"/>
      <c r="AJ98" s="484"/>
    </row>
    <row r="99" spans="1:40" x14ac:dyDescent="0.35">
      <c r="A99" s="484"/>
      <c r="B99" s="1663"/>
      <c r="C99" s="1"/>
      <c r="D99" s="775"/>
      <c r="E99" s="448" t="s">
        <v>189</v>
      </c>
      <c r="F99" s="347"/>
      <c r="G99" s="1307" t="s">
        <v>687</v>
      </c>
      <c r="H99" s="880"/>
      <c r="I99" s="1"/>
      <c r="J99" s="1088"/>
      <c r="K99" s="1088"/>
      <c r="L99" s="1088"/>
      <c r="M99" s="1088"/>
      <c r="N99" s="1292"/>
      <c r="O99" s="1"/>
      <c r="P99" s="1088"/>
      <c r="Q99" s="1088"/>
      <c r="R99" s="1088"/>
      <c r="S99" s="484"/>
      <c r="T99" s="484"/>
      <c r="U99" s="484"/>
      <c r="V99" s="484"/>
      <c r="W99" s="484"/>
      <c r="X99" s="484"/>
      <c r="Y99" s="484"/>
      <c r="Z99" s="484"/>
      <c r="AA99" s="484"/>
      <c r="AB99" s="484"/>
      <c r="AC99" s="484"/>
      <c r="AD99" s="484"/>
      <c r="AE99" s="484"/>
      <c r="AF99" s="484"/>
      <c r="AG99" s="484"/>
      <c r="AH99" s="484"/>
      <c r="AI99" s="484"/>
      <c r="AJ99" s="484"/>
    </row>
    <row r="100" spans="1:40" x14ac:dyDescent="0.35">
      <c r="A100" s="484"/>
      <c r="B100" s="1663"/>
      <c r="C100" s="1"/>
      <c r="D100" s="775"/>
      <c r="E100" s="448" t="s">
        <v>189</v>
      </c>
      <c r="F100" s="347"/>
      <c r="G100" s="1307" t="s">
        <v>687</v>
      </c>
      <c r="H100" s="880"/>
      <c r="I100" s="1"/>
      <c r="J100" s="1088"/>
      <c r="K100" s="1088"/>
      <c r="L100" s="1088"/>
      <c r="M100" s="1088"/>
      <c r="N100" s="1292"/>
      <c r="O100" s="1"/>
      <c r="P100" s="1088"/>
      <c r="Q100" s="1088"/>
      <c r="R100" s="1088"/>
      <c r="S100" s="484"/>
      <c r="T100" s="484"/>
      <c r="U100" s="484"/>
      <c r="V100" s="484"/>
      <c r="W100" s="484"/>
      <c r="X100" s="484"/>
      <c r="Y100" s="484"/>
      <c r="Z100" s="484"/>
      <c r="AA100" s="484"/>
      <c r="AB100" s="484"/>
      <c r="AC100" s="484"/>
      <c r="AD100" s="484"/>
      <c r="AE100" s="484"/>
      <c r="AF100" s="484"/>
      <c r="AG100" s="484"/>
      <c r="AH100" s="484"/>
      <c r="AI100" s="484"/>
      <c r="AJ100" s="484"/>
    </row>
    <row r="101" spans="1:40" x14ac:dyDescent="0.35">
      <c r="A101" s="484"/>
      <c r="B101" s="1663"/>
      <c r="C101" s="1"/>
      <c r="D101" s="1094"/>
      <c r="E101" s="1515"/>
      <c r="F101" s="1516"/>
      <c r="G101" s="1515"/>
      <c r="H101" s="1517"/>
      <c r="I101" s="1"/>
      <c r="J101" s="1070"/>
      <c r="K101" s="1070"/>
      <c r="L101" s="1070"/>
      <c r="M101" s="1070"/>
      <c r="N101" s="1308"/>
      <c r="O101" s="484"/>
      <c r="P101" s="1070"/>
      <c r="Q101" s="1070"/>
      <c r="R101" s="1070"/>
      <c r="S101" s="484"/>
      <c r="T101" s="484"/>
      <c r="U101" s="484"/>
      <c r="V101" s="484"/>
      <c r="W101" s="484"/>
      <c r="X101" s="484"/>
      <c r="Y101" s="484"/>
      <c r="Z101" s="484"/>
      <c r="AA101" s="484"/>
      <c r="AB101" s="484"/>
      <c r="AC101" s="484"/>
      <c r="AD101" s="484"/>
      <c r="AE101" s="484"/>
      <c r="AF101" s="484"/>
      <c r="AG101" s="484"/>
      <c r="AH101" s="484"/>
      <c r="AI101" s="484"/>
      <c r="AJ101" s="484"/>
    </row>
    <row r="102" spans="1:40" x14ac:dyDescent="0.35">
      <c r="A102" s="484"/>
      <c r="B102" s="484"/>
      <c r="C102" s="1"/>
      <c r="D102" s="1"/>
      <c r="E102" s="1"/>
      <c r="F102" s="744"/>
      <c r="G102" s="1"/>
      <c r="H102" s="1"/>
      <c r="I102" s="1"/>
      <c r="J102" s="484"/>
      <c r="K102" s="484"/>
      <c r="L102" s="484"/>
      <c r="M102" s="484"/>
      <c r="N102" s="1277"/>
      <c r="O102" s="484"/>
      <c r="P102" s="484"/>
      <c r="Q102" s="484"/>
      <c r="R102" s="484"/>
      <c r="S102" s="484"/>
      <c r="T102" s="484"/>
      <c r="U102" s="484"/>
      <c r="V102" s="484"/>
      <c r="W102" s="484"/>
      <c r="X102" s="484"/>
      <c r="Y102" s="484"/>
      <c r="Z102" s="484"/>
      <c r="AA102" s="484"/>
      <c r="AB102" s="484"/>
      <c r="AC102" s="484"/>
      <c r="AD102" s="484"/>
      <c r="AE102" s="484"/>
      <c r="AF102" s="484"/>
      <c r="AG102" s="484"/>
      <c r="AH102" s="484"/>
      <c r="AI102" s="484"/>
      <c r="AJ102" s="484"/>
    </row>
    <row r="103" spans="1:40" ht="15" customHeight="1" x14ac:dyDescent="0.35">
      <c r="A103" s="484"/>
      <c r="B103" s="1622" t="s">
        <v>976</v>
      </c>
      <c r="C103" s="484"/>
      <c r="D103" s="1656" t="s">
        <v>839</v>
      </c>
      <c r="E103" s="1657"/>
      <c r="F103" s="1657"/>
      <c r="G103" s="1657"/>
      <c r="H103" s="1658"/>
      <c r="I103" s="335"/>
      <c r="J103" s="1088"/>
      <c r="K103" s="1088"/>
      <c r="L103" s="1088"/>
      <c r="M103" s="1088"/>
      <c r="N103" s="1088"/>
      <c r="O103" s="484"/>
      <c r="P103" s="1070"/>
      <c r="Q103" s="1070"/>
      <c r="R103" s="1070"/>
      <c r="S103" s="484"/>
      <c r="T103" s="484"/>
      <c r="U103" s="484"/>
      <c r="V103" s="484"/>
      <c r="W103" s="484"/>
      <c r="X103" s="484"/>
      <c r="Y103" s="484"/>
      <c r="Z103" s="484"/>
      <c r="AA103" s="484"/>
      <c r="AB103" s="484"/>
      <c r="AC103" s="484"/>
      <c r="AD103" s="484"/>
      <c r="AE103" s="484"/>
      <c r="AF103" s="484"/>
      <c r="AG103" s="484"/>
      <c r="AH103" s="484"/>
      <c r="AI103" s="484"/>
      <c r="AJ103" s="484"/>
      <c r="AK103" s="484"/>
      <c r="AL103" s="484"/>
      <c r="AM103" s="484"/>
      <c r="AN103" s="484"/>
    </row>
    <row r="104" spans="1:40" x14ac:dyDescent="0.35">
      <c r="A104" s="484"/>
      <c r="B104" s="1708"/>
      <c r="C104" s="484"/>
      <c r="D104" s="771"/>
      <c r="E104" s="772"/>
      <c r="F104" s="773"/>
      <c r="G104" s="772"/>
      <c r="H104" s="1343"/>
      <c r="I104" s="335"/>
      <c r="J104" s="1088"/>
      <c r="K104" s="1088"/>
      <c r="L104" s="1088"/>
      <c r="M104" s="1088"/>
      <c r="N104" s="1088"/>
      <c r="O104" s="484"/>
      <c r="P104" s="1070"/>
      <c r="Q104" s="1070"/>
      <c r="R104" s="1070"/>
      <c r="S104" s="484"/>
      <c r="T104" s="484"/>
      <c r="U104" s="484"/>
      <c r="V104" s="484"/>
      <c r="W104" s="484"/>
      <c r="X104" s="484"/>
      <c r="Y104" s="484"/>
      <c r="Z104" s="484"/>
      <c r="AA104" s="484"/>
      <c r="AB104" s="484"/>
      <c r="AC104" s="484"/>
      <c r="AD104" s="484"/>
      <c r="AE104" s="484"/>
      <c r="AF104" s="484"/>
      <c r="AG104" s="484"/>
      <c r="AH104" s="484"/>
      <c r="AI104" s="484"/>
      <c r="AJ104" s="484"/>
      <c r="AK104" s="484"/>
      <c r="AL104" s="484"/>
      <c r="AM104" s="484"/>
      <c r="AN104" s="484"/>
    </row>
    <row r="105" spans="1:40" x14ac:dyDescent="0.35">
      <c r="A105" s="484"/>
      <c r="B105" s="1708"/>
      <c r="C105" s="484"/>
      <c r="D105" s="786"/>
      <c r="E105" s="1647"/>
      <c r="F105" s="1648"/>
      <c r="G105" s="1649"/>
      <c r="H105" s="1344"/>
      <c r="I105" s="335"/>
      <c r="J105" s="1088"/>
      <c r="K105" s="1088"/>
      <c r="L105" s="1088"/>
      <c r="M105" s="1088"/>
      <c r="N105" s="1088"/>
      <c r="O105" s="484"/>
      <c r="P105" s="1070"/>
      <c r="Q105" s="1070"/>
      <c r="R105" s="1070"/>
      <c r="S105" s="484"/>
      <c r="T105" s="484"/>
      <c r="U105" s="484"/>
      <c r="V105" s="484"/>
      <c r="W105" s="484"/>
      <c r="X105" s="484"/>
      <c r="Y105" s="484"/>
      <c r="Z105" s="484"/>
      <c r="AA105" s="484"/>
      <c r="AB105" s="484"/>
      <c r="AC105" s="484"/>
      <c r="AD105" s="484"/>
      <c r="AE105" s="484"/>
      <c r="AF105" s="484"/>
      <c r="AG105" s="484"/>
      <c r="AH105" s="484"/>
      <c r="AI105" s="484"/>
      <c r="AJ105" s="484"/>
      <c r="AK105" s="484"/>
      <c r="AL105" s="484"/>
      <c r="AM105" s="484"/>
      <c r="AN105" s="484"/>
    </row>
    <row r="106" spans="1:40" x14ac:dyDescent="0.35">
      <c r="A106" s="484"/>
      <c r="B106" s="1708"/>
      <c r="C106" s="484"/>
      <c r="D106" s="786"/>
      <c r="E106" s="1650"/>
      <c r="F106" s="1651"/>
      <c r="G106" s="1652"/>
      <c r="H106" s="1344"/>
      <c r="I106" s="335"/>
      <c r="J106" s="1088"/>
      <c r="K106" s="1088"/>
      <c r="L106" s="1088"/>
      <c r="M106" s="1088"/>
      <c r="N106" s="1088"/>
      <c r="O106" s="484"/>
      <c r="P106" s="1070"/>
      <c r="Q106" s="1070"/>
      <c r="R106" s="1070"/>
      <c r="S106" s="484"/>
      <c r="T106" s="484"/>
      <c r="U106" s="484"/>
      <c r="V106" s="484"/>
      <c r="W106" s="484"/>
      <c r="X106" s="484"/>
      <c r="Y106" s="484"/>
      <c r="Z106" s="484"/>
      <c r="AA106" s="484"/>
      <c r="AB106" s="484"/>
      <c r="AC106" s="484"/>
      <c r="AD106" s="484"/>
      <c r="AE106" s="484"/>
      <c r="AF106" s="484"/>
      <c r="AG106" s="484"/>
      <c r="AH106" s="484"/>
      <c r="AI106" s="484"/>
      <c r="AJ106" s="484"/>
      <c r="AK106" s="484"/>
      <c r="AL106" s="484"/>
      <c r="AM106" s="484"/>
      <c r="AN106" s="484"/>
    </row>
    <row r="107" spans="1:40" x14ac:dyDescent="0.35">
      <c r="A107" s="484"/>
      <c r="B107" s="1708"/>
      <c r="C107" s="484"/>
      <c r="D107" s="786"/>
      <c r="E107" s="1650"/>
      <c r="F107" s="1651"/>
      <c r="G107" s="1652"/>
      <c r="H107" s="1344"/>
      <c r="I107" s="335"/>
      <c r="J107" s="1088"/>
      <c r="K107" s="1088"/>
      <c r="L107" s="1088"/>
      <c r="M107" s="1088"/>
      <c r="N107" s="1088"/>
      <c r="O107" s="484"/>
      <c r="P107" s="1070"/>
      <c r="Q107" s="1070"/>
      <c r="R107" s="1070"/>
      <c r="S107" s="484"/>
      <c r="T107" s="484"/>
      <c r="U107" s="484"/>
      <c r="V107" s="484"/>
      <c r="W107" s="484"/>
      <c r="X107" s="484"/>
      <c r="Y107" s="484"/>
      <c r="Z107" s="484"/>
      <c r="AA107" s="484"/>
      <c r="AB107" s="484"/>
      <c r="AC107" s="484"/>
      <c r="AD107" s="484"/>
      <c r="AE107" s="484"/>
      <c r="AF107" s="484"/>
      <c r="AG107" s="484"/>
      <c r="AH107" s="484"/>
      <c r="AI107" s="484"/>
      <c r="AJ107" s="484"/>
      <c r="AK107" s="484"/>
      <c r="AL107" s="484"/>
      <c r="AM107" s="484"/>
      <c r="AN107" s="484"/>
    </row>
    <row r="108" spans="1:40" x14ac:dyDescent="0.35">
      <c r="A108" s="484"/>
      <c r="B108" s="1708"/>
      <c r="C108" s="484"/>
      <c r="D108" s="786"/>
      <c r="E108" s="1650"/>
      <c r="F108" s="1651"/>
      <c r="G108" s="1652"/>
      <c r="H108" s="1344"/>
      <c r="I108" s="335"/>
      <c r="J108" s="1088"/>
      <c r="K108" s="1088"/>
      <c r="L108" s="1088"/>
      <c r="M108" s="1088"/>
      <c r="N108" s="1088"/>
      <c r="O108" s="484"/>
      <c r="P108" s="1070"/>
      <c r="Q108" s="1070"/>
      <c r="R108" s="1070"/>
      <c r="S108" s="484"/>
      <c r="T108" s="484"/>
      <c r="U108" s="484"/>
      <c r="V108" s="484"/>
      <c r="W108" s="484"/>
      <c r="X108" s="484"/>
      <c r="Y108" s="484"/>
      <c r="Z108" s="484"/>
      <c r="AA108" s="484"/>
      <c r="AB108" s="484"/>
      <c r="AC108" s="484"/>
      <c r="AD108" s="484"/>
      <c r="AE108" s="484"/>
      <c r="AF108" s="484"/>
      <c r="AG108" s="484"/>
      <c r="AH108" s="484"/>
      <c r="AI108" s="484"/>
      <c r="AJ108" s="484"/>
      <c r="AK108" s="484"/>
      <c r="AL108" s="484"/>
      <c r="AM108" s="484"/>
      <c r="AN108" s="484"/>
    </row>
    <row r="109" spans="1:40" x14ac:dyDescent="0.35">
      <c r="A109" s="484"/>
      <c r="B109" s="1708"/>
      <c r="C109" s="484"/>
      <c r="D109" s="786"/>
      <c r="E109" s="1650"/>
      <c r="F109" s="1651"/>
      <c r="G109" s="1652"/>
      <c r="H109" s="1344"/>
      <c r="I109" s="335"/>
      <c r="J109" s="1088"/>
      <c r="K109" s="1088"/>
      <c r="L109" s="1088"/>
      <c r="M109" s="1088"/>
      <c r="N109" s="1088"/>
      <c r="O109" s="484"/>
      <c r="P109" s="1070"/>
      <c r="Q109" s="1070"/>
      <c r="R109" s="1070"/>
      <c r="S109" s="484"/>
      <c r="T109" s="484"/>
      <c r="U109" s="484"/>
      <c r="V109" s="484"/>
      <c r="W109" s="484"/>
      <c r="X109" s="484"/>
      <c r="Y109" s="484"/>
      <c r="Z109" s="484"/>
      <c r="AA109" s="484"/>
      <c r="AB109" s="484"/>
      <c r="AC109" s="484"/>
      <c r="AD109" s="484"/>
      <c r="AE109" s="484"/>
      <c r="AF109" s="484"/>
      <c r="AG109" s="484"/>
      <c r="AH109" s="484"/>
      <c r="AI109" s="484"/>
      <c r="AJ109" s="484"/>
      <c r="AK109" s="484"/>
      <c r="AL109" s="484"/>
      <c r="AM109" s="484"/>
      <c r="AN109" s="484"/>
    </row>
    <row r="110" spans="1:40" x14ac:dyDescent="0.35">
      <c r="A110" s="484"/>
      <c r="B110" s="1708"/>
      <c r="C110" s="484"/>
      <c r="D110" s="786"/>
      <c r="E110" s="1653"/>
      <c r="F110" s="1654"/>
      <c r="G110" s="1655"/>
      <c r="H110" s="1344"/>
      <c r="I110" s="335"/>
      <c r="J110" s="1088"/>
      <c r="K110" s="1088"/>
      <c r="L110" s="1088"/>
      <c r="M110" s="1088"/>
      <c r="N110" s="1088"/>
      <c r="O110" s="484"/>
      <c r="P110" s="1070"/>
      <c r="Q110" s="1070"/>
      <c r="R110" s="1070"/>
      <c r="S110" s="484"/>
      <c r="T110" s="484"/>
      <c r="U110" s="484"/>
      <c r="V110" s="484"/>
      <c r="W110" s="484"/>
      <c r="X110" s="484"/>
      <c r="Y110" s="484"/>
      <c r="Z110" s="484"/>
      <c r="AA110" s="484"/>
      <c r="AB110" s="484"/>
      <c r="AC110" s="484"/>
      <c r="AD110" s="484"/>
      <c r="AE110" s="484"/>
      <c r="AF110" s="484"/>
      <c r="AG110" s="484"/>
      <c r="AH110" s="484"/>
      <c r="AI110" s="484"/>
      <c r="AJ110" s="484"/>
      <c r="AK110" s="484"/>
      <c r="AL110" s="484"/>
      <c r="AM110" s="484"/>
      <c r="AN110" s="484"/>
    </row>
    <row r="111" spans="1:40" x14ac:dyDescent="0.35">
      <c r="A111" s="484"/>
      <c r="B111" s="1708"/>
      <c r="C111" s="484"/>
      <c r="D111" s="803"/>
      <c r="E111" s="782"/>
      <c r="F111" s="781"/>
      <c r="G111" s="782"/>
      <c r="H111" s="1345"/>
      <c r="I111" s="335"/>
      <c r="J111" s="1088"/>
      <c r="K111" s="1088"/>
      <c r="L111" s="1088"/>
      <c r="M111" s="1088"/>
      <c r="N111" s="1088"/>
      <c r="O111" s="484"/>
      <c r="P111" s="1070"/>
      <c r="Q111" s="1070"/>
      <c r="R111" s="1070"/>
      <c r="S111" s="484"/>
      <c r="T111" s="484"/>
      <c r="U111" s="484"/>
      <c r="V111" s="484"/>
      <c r="W111" s="484"/>
      <c r="X111" s="484"/>
      <c r="Y111" s="484"/>
      <c r="Z111" s="484"/>
      <c r="AA111" s="484"/>
      <c r="AB111" s="484"/>
      <c r="AC111" s="484"/>
      <c r="AD111" s="484"/>
      <c r="AE111" s="484"/>
      <c r="AF111" s="484"/>
      <c r="AG111" s="484"/>
      <c r="AH111" s="484"/>
      <c r="AI111" s="484"/>
      <c r="AJ111" s="484"/>
      <c r="AK111" s="484"/>
      <c r="AL111" s="484"/>
      <c r="AM111" s="484"/>
      <c r="AN111" s="484"/>
    </row>
    <row r="112" spans="1:40" x14ac:dyDescent="0.35">
      <c r="A112" s="484"/>
      <c r="B112" s="484"/>
      <c r="C112" s="484"/>
      <c r="D112" s="1"/>
      <c r="E112" s="1"/>
      <c r="F112" s="744"/>
      <c r="G112" s="1"/>
      <c r="H112" s="1"/>
      <c r="I112" s="484"/>
      <c r="J112" s="484"/>
      <c r="K112" s="484"/>
      <c r="L112" s="484"/>
      <c r="M112" s="484"/>
      <c r="N112" s="1277"/>
      <c r="O112" s="484"/>
      <c r="P112" s="484"/>
      <c r="Q112" s="484"/>
      <c r="R112" s="484"/>
      <c r="S112" s="484"/>
      <c r="T112" s="484"/>
      <c r="U112" s="484"/>
      <c r="V112" s="484"/>
      <c r="W112" s="484"/>
      <c r="X112" s="484"/>
      <c r="Y112" s="484"/>
      <c r="Z112" s="484"/>
      <c r="AA112" s="484"/>
      <c r="AB112" s="484"/>
      <c r="AC112" s="484"/>
      <c r="AD112" s="484"/>
      <c r="AE112" s="484"/>
      <c r="AF112" s="484"/>
      <c r="AG112" s="484"/>
      <c r="AH112" s="484"/>
      <c r="AI112" s="484"/>
      <c r="AJ112" s="484"/>
    </row>
    <row r="113" spans="1:36" x14ac:dyDescent="0.35">
      <c r="A113" s="484"/>
      <c r="B113" s="484"/>
      <c r="C113" s="484"/>
      <c r="D113" s="1"/>
      <c r="E113" s="1"/>
      <c r="F113" s="744"/>
      <c r="G113" s="1"/>
      <c r="H113" s="1"/>
      <c r="I113" s="484"/>
      <c r="J113" s="484"/>
      <c r="K113" s="484"/>
      <c r="L113" s="484"/>
      <c r="M113" s="484"/>
      <c r="N113" s="1277"/>
      <c r="O113" s="484"/>
      <c r="P113" s="484"/>
      <c r="Q113" s="484"/>
      <c r="R113" s="484"/>
      <c r="S113" s="484"/>
      <c r="T113" s="484"/>
      <c r="U113" s="484"/>
      <c r="V113" s="484"/>
      <c r="W113" s="484"/>
      <c r="X113" s="484"/>
      <c r="Y113" s="484"/>
      <c r="Z113" s="484"/>
      <c r="AA113" s="484"/>
      <c r="AB113" s="484"/>
      <c r="AC113" s="484"/>
      <c r="AD113" s="484"/>
      <c r="AE113" s="484"/>
      <c r="AF113" s="484"/>
      <c r="AG113" s="484"/>
      <c r="AH113" s="484"/>
      <c r="AI113" s="484"/>
      <c r="AJ113" s="484"/>
    </row>
    <row r="114" spans="1:36" x14ac:dyDescent="0.35">
      <c r="A114" s="484"/>
      <c r="B114" s="484"/>
      <c r="C114" s="484"/>
      <c r="D114" s="1"/>
      <c r="E114" s="1"/>
      <c r="F114" s="744"/>
      <c r="G114" s="1"/>
      <c r="H114" s="1"/>
      <c r="I114" s="484"/>
      <c r="J114" s="484"/>
      <c r="K114" s="484"/>
      <c r="L114" s="484"/>
      <c r="M114" s="484"/>
      <c r="N114" s="1277"/>
      <c r="O114" s="484"/>
      <c r="P114" s="484"/>
      <c r="Q114" s="484"/>
      <c r="R114" s="484"/>
      <c r="S114" s="484"/>
      <c r="T114" s="484"/>
      <c r="U114" s="484"/>
      <c r="V114" s="484"/>
      <c r="W114" s="484"/>
      <c r="X114" s="484"/>
      <c r="Y114" s="484"/>
      <c r="Z114" s="484"/>
      <c r="AA114" s="484"/>
      <c r="AB114" s="484"/>
      <c r="AC114" s="484"/>
      <c r="AD114" s="484"/>
      <c r="AE114" s="484"/>
      <c r="AF114" s="484"/>
      <c r="AG114" s="484"/>
      <c r="AH114" s="484"/>
      <c r="AI114" s="484"/>
      <c r="AJ114" s="484"/>
    </row>
    <row r="115" spans="1:36" x14ac:dyDescent="0.35">
      <c r="A115" s="484"/>
      <c r="B115" s="484"/>
      <c r="C115" s="484"/>
      <c r="D115" s="1"/>
      <c r="E115" s="1"/>
      <c r="F115" s="744"/>
      <c r="G115" s="1"/>
      <c r="H115" s="1"/>
      <c r="I115" s="484"/>
      <c r="J115" s="484"/>
      <c r="K115" s="484"/>
      <c r="L115" s="484"/>
      <c r="M115" s="484"/>
      <c r="N115" s="1277"/>
      <c r="O115" s="484"/>
      <c r="P115" s="484"/>
      <c r="Q115" s="484"/>
      <c r="R115" s="484"/>
      <c r="S115" s="484"/>
      <c r="T115" s="484"/>
      <c r="U115" s="484"/>
      <c r="V115" s="484"/>
      <c r="W115" s="484"/>
      <c r="X115" s="484"/>
      <c r="Y115" s="484"/>
      <c r="Z115" s="484"/>
      <c r="AA115" s="484"/>
      <c r="AB115" s="484"/>
      <c r="AC115" s="484"/>
      <c r="AD115" s="484"/>
      <c r="AE115" s="484"/>
      <c r="AF115" s="484"/>
      <c r="AG115" s="484"/>
      <c r="AH115" s="484"/>
      <c r="AI115" s="484"/>
      <c r="AJ115" s="484"/>
    </row>
    <row r="116" spans="1:36" x14ac:dyDescent="0.35">
      <c r="A116" s="484"/>
      <c r="B116" s="484"/>
      <c r="C116" s="484"/>
      <c r="D116" s="1"/>
      <c r="E116" s="1"/>
      <c r="F116" s="744"/>
      <c r="G116" s="1"/>
      <c r="H116" s="1"/>
      <c r="I116" s="484"/>
      <c r="J116" s="484"/>
      <c r="K116" s="484"/>
      <c r="L116" s="484"/>
      <c r="M116" s="484"/>
      <c r="N116" s="1277"/>
      <c r="O116" s="484"/>
      <c r="P116" s="484"/>
      <c r="Q116" s="484"/>
      <c r="R116" s="484"/>
      <c r="S116" s="484"/>
      <c r="T116" s="484"/>
      <c r="U116" s="484"/>
      <c r="V116" s="484"/>
      <c r="W116" s="484"/>
      <c r="X116" s="484"/>
      <c r="Y116" s="484"/>
      <c r="Z116" s="484"/>
      <c r="AA116" s="484"/>
      <c r="AB116" s="484"/>
      <c r="AC116" s="484"/>
      <c r="AD116" s="484"/>
      <c r="AE116" s="484"/>
      <c r="AF116" s="484"/>
      <c r="AG116" s="484"/>
      <c r="AH116" s="484"/>
      <c r="AI116" s="484"/>
      <c r="AJ116" s="484"/>
    </row>
    <row r="117" spans="1:36" x14ac:dyDescent="0.35">
      <c r="A117" s="484"/>
      <c r="B117" s="484"/>
      <c r="C117" s="484"/>
      <c r="D117" s="1"/>
      <c r="E117" s="1"/>
      <c r="F117" s="744"/>
      <c r="G117" s="1"/>
      <c r="H117" s="1"/>
      <c r="I117" s="484"/>
      <c r="J117" s="484"/>
      <c r="K117" s="484"/>
      <c r="L117" s="484"/>
      <c r="M117" s="484"/>
      <c r="N117" s="1277"/>
      <c r="O117" s="484"/>
      <c r="P117" s="484"/>
      <c r="Q117" s="484"/>
      <c r="R117" s="484"/>
      <c r="S117" s="484"/>
      <c r="T117" s="484"/>
      <c r="U117" s="484"/>
      <c r="V117" s="484"/>
      <c r="W117" s="484"/>
      <c r="X117" s="484"/>
      <c r="Y117" s="484"/>
      <c r="Z117" s="484"/>
      <c r="AA117" s="484"/>
      <c r="AB117" s="484"/>
      <c r="AC117" s="484"/>
      <c r="AD117" s="484"/>
      <c r="AE117" s="484"/>
      <c r="AF117" s="484"/>
      <c r="AG117" s="484"/>
      <c r="AH117" s="484"/>
      <c r="AI117" s="484"/>
      <c r="AJ117" s="484"/>
    </row>
    <row r="118" spans="1:36" x14ac:dyDescent="0.35">
      <c r="A118" s="484"/>
      <c r="B118" s="484"/>
      <c r="C118" s="484"/>
      <c r="D118" s="1"/>
      <c r="E118" s="1"/>
      <c r="F118" s="744"/>
      <c r="G118" s="1"/>
      <c r="H118" s="1"/>
      <c r="I118" s="484"/>
      <c r="J118" s="484"/>
      <c r="K118" s="484"/>
      <c r="L118" s="484"/>
      <c r="M118" s="484"/>
      <c r="N118" s="1277"/>
      <c r="O118" s="484"/>
      <c r="P118" s="484"/>
      <c r="Q118" s="484"/>
      <c r="R118" s="484"/>
      <c r="S118" s="484"/>
      <c r="T118" s="484"/>
      <c r="U118" s="484"/>
      <c r="V118" s="484"/>
      <c r="W118" s="484"/>
      <c r="X118" s="484"/>
      <c r="Y118" s="484"/>
      <c r="Z118" s="484"/>
      <c r="AA118" s="484"/>
      <c r="AB118" s="484"/>
      <c r="AC118" s="484"/>
      <c r="AD118" s="484"/>
      <c r="AE118" s="484"/>
      <c r="AF118" s="484"/>
      <c r="AG118" s="484"/>
      <c r="AH118" s="484"/>
      <c r="AI118" s="484"/>
      <c r="AJ118" s="484"/>
    </row>
    <row r="119" spans="1:36" x14ac:dyDescent="0.35">
      <c r="A119" s="484"/>
      <c r="B119" s="484"/>
      <c r="C119" s="484"/>
      <c r="D119" s="1"/>
      <c r="E119" s="1"/>
      <c r="F119" s="744"/>
      <c r="G119" s="1"/>
      <c r="H119" s="1"/>
      <c r="I119" s="484"/>
      <c r="J119" s="484"/>
      <c r="K119" s="484"/>
      <c r="L119" s="484"/>
      <c r="M119" s="484"/>
      <c r="N119" s="1277"/>
      <c r="O119" s="484"/>
      <c r="P119" s="484"/>
      <c r="Q119" s="484"/>
      <c r="R119" s="484"/>
      <c r="S119" s="484"/>
      <c r="T119" s="484"/>
      <c r="U119" s="484"/>
      <c r="V119" s="484"/>
      <c r="W119" s="484"/>
      <c r="X119" s="484"/>
      <c r="Y119" s="484"/>
      <c r="Z119" s="484"/>
      <c r="AA119" s="484"/>
      <c r="AB119" s="484"/>
      <c r="AC119" s="484"/>
      <c r="AD119" s="484"/>
      <c r="AE119" s="484"/>
      <c r="AF119" s="484"/>
      <c r="AG119" s="484"/>
      <c r="AH119" s="484"/>
      <c r="AI119" s="484"/>
      <c r="AJ119" s="484"/>
    </row>
    <row r="120" spans="1:36" x14ac:dyDescent="0.35">
      <c r="A120" s="484"/>
      <c r="B120" s="484"/>
      <c r="C120" s="484"/>
      <c r="D120" s="1"/>
      <c r="E120" s="1"/>
      <c r="F120" s="744"/>
      <c r="G120" s="1"/>
      <c r="H120" s="1"/>
      <c r="I120" s="484"/>
      <c r="J120" s="484"/>
      <c r="K120" s="484"/>
      <c r="L120" s="484"/>
      <c r="M120" s="484"/>
      <c r="N120" s="1277"/>
      <c r="O120" s="484"/>
      <c r="P120" s="484"/>
      <c r="Q120" s="484"/>
      <c r="R120" s="484"/>
      <c r="S120" s="484"/>
      <c r="T120" s="484"/>
      <c r="U120" s="484"/>
      <c r="V120" s="484"/>
      <c r="W120" s="484"/>
      <c r="X120" s="484"/>
      <c r="Y120" s="484"/>
      <c r="Z120" s="484"/>
      <c r="AA120" s="484"/>
      <c r="AB120" s="484"/>
      <c r="AC120" s="484"/>
      <c r="AD120" s="484"/>
      <c r="AE120" s="484"/>
      <c r="AF120" s="484"/>
      <c r="AG120" s="484"/>
      <c r="AH120" s="484"/>
      <c r="AI120" s="484"/>
      <c r="AJ120" s="484"/>
    </row>
    <row r="121" spans="1:36" x14ac:dyDescent="0.35">
      <c r="A121" s="484"/>
      <c r="B121" s="484"/>
      <c r="C121" s="484"/>
      <c r="D121" s="1"/>
      <c r="E121" s="1"/>
      <c r="F121" s="744"/>
      <c r="G121" s="1"/>
      <c r="H121" s="1"/>
      <c r="I121" s="484"/>
      <c r="J121" s="484"/>
      <c r="K121" s="484"/>
      <c r="L121" s="484"/>
      <c r="M121" s="484"/>
      <c r="N121" s="1277"/>
      <c r="O121" s="484"/>
      <c r="P121" s="484"/>
      <c r="Q121" s="484"/>
      <c r="R121" s="484"/>
      <c r="S121" s="484"/>
      <c r="T121" s="484"/>
      <c r="U121" s="484"/>
      <c r="V121" s="484"/>
      <c r="W121" s="484"/>
      <c r="X121" s="484"/>
      <c r="Y121" s="484"/>
      <c r="Z121" s="484"/>
      <c r="AA121" s="484"/>
      <c r="AB121" s="484"/>
      <c r="AC121" s="484"/>
      <c r="AD121" s="484"/>
      <c r="AE121" s="484"/>
      <c r="AF121" s="484"/>
      <c r="AG121" s="484"/>
      <c r="AH121" s="484"/>
      <c r="AI121" s="484"/>
      <c r="AJ121" s="484"/>
    </row>
    <row r="122" spans="1:36" x14ac:dyDescent="0.35">
      <c r="A122" s="484"/>
      <c r="B122" s="484"/>
      <c r="C122" s="484"/>
      <c r="D122" s="1"/>
      <c r="E122" s="1"/>
      <c r="F122" s="744"/>
      <c r="G122" s="1"/>
      <c r="H122" s="1"/>
      <c r="I122" s="484"/>
      <c r="J122" s="484"/>
      <c r="K122" s="484"/>
      <c r="L122" s="484"/>
      <c r="M122" s="484"/>
      <c r="N122" s="1277"/>
      <c r="O122" s="484"/>
      <c r="P122" s="484"/>
      <c r="Q122" s="484"/>
      <c r="R122" s="484"/>
      <c r="S122" s="484"/>
      <c r="T122" s="484"/>
      <c r="U122" s="484"/>
      <c r="V122" s="484"/>
      <c r="W122" s="484"/>
      <c r="X122" s="484"/>
      <c r="Y122" s="484"/>
      <c r="Z122" s="484"/>
      <c r="AA122" s="484"/>
      <c r="AB122" s="484"/>
      <c r="AC122" s="484"/>
      <c r="AD122" s="484"/>
      <c r="AE122" s="484"/>
      <c r="AF122" s="484"/>
      <c r="AG122" s="484"/>
      <c r="AH122" s="484"/>
      <c r="AI122" s="484"/>
      <c r="AJ122" s="484"/>
    </row>
    <row r="123" spans="1:36" x14ac:dyDescent="0.35">
      <c r="A123" s="484"/>
      <c r="B123" s="484"/>
      <c r="C123" s="484"/>
      <c r="D123" s="1"/>
      <c r="E123" s="1"/>
      <c r="F123" s="744"/>
      <c r="G123" s="1"/>
      <c r="H123" s="1"/>
      <c r="I123" s="484"/>
      <c r="J123" s="484"/>
      <c r="K123" s="484"/>
      <c r="L123" s="484"/>
      <c r="M123" s="484"/>
      <c r="N123" s="1277"/>
      <c r="O123" s="484"/>
      <c r="P123" s="484"/>
      <c r="Q123" s="484"/>
      <c r="R123" s="484"/>
      <c r="S123" s="484"/>
      <c r="T123" s="484"/>
      <c r="U123" s="484"/>
      <c r="V123" s="484"/>
      <c r="W123" s="484"/>
      <c r="X123" s="484"/>
      <c r="Y123" s="484"/>
      <c r="Z123" s="484"/>
      <c r="AA123" s="484"/>
      <c r="AB123" s="484"/>
      <c r="AC123" s="484"/>
      <c r="AD123" s="484"/>
      <c r="AE123" s="484"/>
      <c r="AF123" s="484"/>
      <c r="AG123" s="484"/>
      <c r="AH123" s="484"/>
      <c r="AI123" s="484"/>
      <c r="AJ123" s="484"/>
    </row>
    <row r="124" spans="1:36" x14ac:dyDescent="0.35">
      <c r="A124" s="484"/>
      <c r="B124" s="484"/>
      <c r="C124" s="484"/>
      <c r="D124" s="1"/>
      <c r="E124" s="1"/>
      <c r="F124" s="744"/>
      <c r="G124" s="1"/>
      <c r="H124" s="1"/>
      <c r="I124" s="484"/>
      <c r="J124" s="484"/>
      <c r="K124" s="484"/>
      <c r="L124" s="484"/>
      <c r="M124" s="484"/>
      <c r="N124" s="1277"/>
      <c r="O124" s="484"/>
      <c r="P124" s="484"/>
      <c r="Q124" s="484"/>
      <c r="R124" s="484"/>
      <c r="S124" s="484"/>
      <c r="T124" s="484"/>
      <c r="U124" s="484"/>
      <c r="V124" s="484"/>
      <c r="W124" s="484"/>
      <c r="X124" s="484"/>
      <c r="Y124" s="484"/>
      <c r="Z124" s="484"/>
      <c r="AA124" s="484"/>
      <c r="AB124" s="484"/>
      <c r="AC124" s="484"/>
      <c r="AD124" s="484"/>
      <c r="AE124" s="484"/>
      <c r="AF124" s="484"/>
      <c r="AG124" s="484"/>
      <c r="AH124" s="484"/>
      <c r="AI124" s="484"/>
      <c r="AJ124" s="484"/>
    </row>
    <row r="125" spans="1:36" x14ac:dyDescent="0.35">
      <c r="A125" s="484"/>
      <c r="B125" s="484"/>
      <c r="C125" s="484"/>
      <c r="D125" s="1"/>
      <c r="E125" s="1"/>
      <c r="F125" s="744"/>
      <c r="G125" s="1"/>
      <c r="H125" s="1"/>
      <c r="I125" s="484"/>
      <c r="J125" s="484"/>
      <c r="K125" s="484"/>
      <c r="L125" s="484"/>
      <c r="M125" s="484"/>
      <c r="N125" s="1277"/>
      <c r="O125" s="484"/>
      <c r="P125" s="484"/>
      <c r="Q125" s="484"/>
      <c r="R125" s="484"/>
      <c r="S125" s="484"/>
      <c r="T125" s="484"/>
      <c r="U125" s="484"/>
      <c r="V125" s="484"/>
      <c r="W125" s="484"/>
      <c r="X125" s="484"/>
      <c r="Y125" s="484"/>
      <c r="Z125" s="484"/>
      <c r="AA125" s="484"/>
      <c r="AB125" s="484"/>
      <c r="AC125" s="484"/>
      <c r="AD125" s="484"/>
      <c r="AE125" s="484"/>
      <c r="AF125" s="484"/>
      <c r="AG125" s="484"/>
      <c r="AH125" s="484"/>
      <c r="AI125" s="484"/>
      <c r="AJ125" s="484"/>
    </row>
    <row r="126" spans="1:36" x14ac:dyDescent="0.35">
      <c r="A126" s="484"/>
      <c r="B126" s="484"/>
      <c r="C126" s="484"/>
      <c r="D126" s="1"/>
      <c r="E126" s="1"/>
      <c r="F126" s="744"/>
      <c r="G126" s="1"/>
      <c r="H126" s="1"/>
      <c r="I126" s="484"/>
      <c r="J126" s="484"/>
      <c r="K126" s="484"/>
      <c r="L126" s="484"/>
      <c r="M126" s="484"/>
      <c r="N126" s="1277"/>
      <c r="O126" s="484"/>
      <c r="P126" s="484"/>
      <c r="Q126" s="484"/>
      <c r="R126" s="484"/>
      <c r="S126" s="484"/>
      <c r="T126" s="484"/>
      <c r="U126" s="484"/>
      <c r="V126" s="484"/>
      <c r="W126" s="484"/>
      <c r="X126" s="484"/>
      <c r="Y126" s="484"/>
      <c r="Z126" s="484"/>
      <c r="AA126" s="484"/>
      <c r="AB126" s="484"/>
      <c r="AC126" s="484"/>
      <c r="AD126" s="484"/>
      <c r="AE126" s="484"/>
      <c r="AF126" s="484"/>
      <c r="AG126" s="484"/>
      <c r="AH126" s="484"/>
      <c r="AI126" s="484"/>
      <c r="AJ126" s="484"/>
    </row>
    <row r="127" spans="1:36" x14ac:dyDescent="0.35">
      <c r="A127" s="484"/>
      <c r="B127" s="484"/>
      <c r="C127" s="484"/>
      <c r="D127" s="1"/>
      <c r="E127" s="1"/>
      <c r="F127" s="744"/>
      <c r="G127" s="1"/>
      <c r="H127" s="1"/>
      <c r="I127" s="484"/>
      <c r="J127" s="484"/>
      <c r="K127" s="484"/>
      <c r="L127" s="484"/>
      <c r="M127" s="484"/>
      <c r="N127" s="1277"/>
      <c r="O127" s="484"/>
      <c r="P127" s="484"/>
      <c r="Q127" s="484"/>
      <c r="R127" s="484"/>
      <c r="S127" s="484"/>
      <c r="T127" s="484"/>
      <c r="U127" s="484"/>
      <c r="V127" s="484"/>
      <c r="W127" s="484"/>
      <c r="X127" s="484"/>
      <c r="Y127" s="484"/>
      <c r="Z127" s="484"/>
      <c r="AA127" s="484"/>
      <c r="AB127" s="484"/>
      <c r="AC127" s="484"/>
      <c r="AD127" s="484"/>
      <c r="AE127" s="484"/>
      <c r="AF127" s="484"/>
      <c r="AG127" s="484"/>
      <c r="AH127" s="484"/>
      <c r="AI127" s="484"/>
      <c r="AJ127" s="484"/>
    </row>
    <row r="128" spans="1:36" x14ac:dyDescent="0.35">
      <c r="A128" s="484"/>
      <c r="B128" s="484"/>
      <c r="C128" s="484"/>
      <c r="D128" s="1"/>
      <c r="E128" s="1"/>
      <c r="F128" s="744"/>
      <c r="G128" s="1"/>
      <c r="H128" s="1"/>
      <c r="I128" s="484"/>
      <c r="J128" s="484"/>
      <c r="K128" s="484"/>
      <c r="L128" s="484"/>
      <c r="M128" s="484"/>
      <c r="N128" s="1277"/>
      <c r="O128" s="484"/>
      <c r="P128" s="484"/>
      <c r="Q128" s="484"/>
      <c r="R128" s="484"/>
      <c r="S128" s="484"/>
      <c r="T128" s="484"/>
      <c r="U128" s="484"/>
      <c r="V128" s="484"/>
      <c r="W128" s="484"/>
      <c r="X128" s="484"/>
      <c r="Y128" s="484"/>
      <c r="Z128" s="484"/>
      <c r="AA128" s="484"/>
      <c r="AB128" s="484"/>
      <c r="AC128" s="484"/>
      <c r="AD128" s="484"/>
      <c r="AE128" s="484"/>
      <c r="AF128" s="484"/>
      <c r="AG128" s="484"/>
      <c r="AH128" s="484"/>
      <c r="AI128" s="484"/>
      <c r="AJ128" s="484"/>
    </row>
    <row r="129" spans="1:36" x14ac:dyDescent="0.35">
      <c r="A129" s="484"/>
      <c r="B129" s="484"/>
      <c r="C129" s="484"/>
      <c r="D129" s="1"/>
      <c r="E129" s="1"/>
      <c r="F129" s="744"/>
      <c r="G129" s="1"/>
      <c r="H129" s="1"/>
      <c r="I129" s="484"/>
      <c r="J129" s="484"/>
      <c r="K129" s="484"/>
      <c r="L129" s="484"/>
      <c r="M129" s="484"/>
      <c r="N129" s="1277"/>
      <c r="O129" s="484"/>
      <c r="P129" s="484"/>
      <c r="Q129" s="484"/>
      <c r="R129" s="484"/>
      <c r="S129" s="484"/>
      <c r="T129" s="484"/>
      <c r="U129" s="484"/>
      <c r="V129" s="484"/>
      <c r="W129" s="484"/>
      <c r="X129" s="484"/>
      <c r="Y129" s="484"/>
      <c r="Z129" s="484"/>
      <c r="AA129" s="484"/>
      <c r="AB129" s="484"/>
      <c r="AC129" s="484"/>
      <c r="AD129" s="484"/>
      <c r="AE129" s="484"/>
      <c r="AF129" s="484"/>
      <c r="AG129" s="484"/>
      <c r="AH129" s="484"/>
      <c r="AI129" s="484"/>
      <c r="AJ129" s="484"/>
    </row>
    <row r="130" spans="1:36" x14ac:dyDescent="0.35">
      <c r="A130" s="484"/>
      <c r="B130" s="484"/>
      <c r="C130" s="484"/>
      <c r="D130" s="1"/>
      <c r="E130" s="1"/>
      <c r="F130" s="744"/>
      <c r="G130" s="1"/>
      <c r="H130" s="1"/>
      <c r="I130" s="484"/>
      <c r="J130" s="484"/>
      <c r="K130" s="484"/>
      <c r="L130" s="484"/>
      <c r="M130" s="484"/>
      <c r="N130" s="1277"/>
      <c r="O130" s="484"/>
      <c r="P130" s="484"/>
      <c r="Q130" s="484"/>
      <c r="R130" s="484"/>
      <c r="S130" s="484"/>
      <c r="T130" s="484"/>
      <c r="U130" s="484"/>
      <c r="V130" s="484"/>
      <c r="W130" s="484"/>
      <c r="X130" s="484"/>
      <c r="Y130" s="484"/>
      <c r="Z130" s="484"/>
      <c r="AA130" s="484"/>
      <c r="AB130" s="484"/>
      <c r="AC130" s="484"/>
      <c r="AD130" s="484"/>
      <c r="AE130" s="484"/>
      <c r="AF130" s="484"/>
      <c r="AG130" s="484"/>
      <c r="AH130" s="484"/>
      <c r="AI130" s="484"/>
      <c r="AJ130" s="484"/>
    </row>
    <row r="131" spans="1:36" x14ac:dyDescent="0.35">
      <c r="A131" s="484"/>
      <c r="B131" s="484"/>
      <c r="C131" s="484"/>
      <c r="D131" s="1"/>
      <c r="E131" s="1"/>
      <c r="F131" s="744"/>
      <c r="G131" s="1"/>
      <c r="H131" s="1"/>
      <c r="I131" s="484"/>
      <c r="J131" s="484"/>
      <c r="K131" s="484"/>
      <c r="L131" s="484"/>
      <c r="M131" s="484"/>
      <c r="N131" s="1277"/>
      <c r="O131" s="484"/>
      <c r="P131" s="484"/>
      <c r="Q131" s="484"/>
      <c r="R131" s="484"/>
      <c r="S131" s="484"/>
      <c r="T131" s="484"/>
      <c r="U131" s="484"/>
      <c r="V131" s="484"/>
      <c r="W131" s="484"/>
      <c r="X131" s="484"/>
      <c r="Y131" s="484"/>
      <c r="Z131" s="484"/>
      <c r="AA131" s="484"/>
      <c r="AB131" s="484"/>
      <c r="AC131" s="484"/>
      <c r="AD131" s="484"/>
      <c r="AE131" s="484"/>
      <c r="AF131" s="484"/>
      <c r="AG131" s="484"/>
      <c r="AH131" s="484"/>
      <c r="AI131" s="484"/>
      <c r="AJ131" s="484"/>
    </row>
    <row r="132" spans="1:36" x14ac:dyDescent="0.35">
      <c r="A132" s="484"/>
      <c r="B132" s="484"/>
      <c r="C132" s="484"/>
      <c r="D132" s="1"/>
      <c r="E132" s="1"/>
      <c r="F132" s="744"/>
      <c r="G132" s="1"/>
      <c r="H132" s="1"/>
      <c r="I132" s="484"/>
      <c r="J132" s="484"/>
      <c r="K132" s="484"/>
      <c r="L132" s="484"/>
      <c r="M132" s="484"/>
      <c r="N132" s="1277"/>
      <c r="O132" s="484"/>
      <c r="P132" s="484"/>
      <c r="Q132" s="484"/>
      <c r="R132" s="484"/>
      <c r="S132" s="484"/>
      <c r="T132" s="484"/>
      <c r="U132" s="484"/>
      <c r="V132" s="484"/>
      <c r="W132" s="484"/>
      <c r="X132" s="484"/>
      <c r="Y132" s="484"/>
      <c r="Z132" s="484"/>
      <c r="AA132" s="484"/>
      <c r="AB132" s="484"/>
      <c r="AC132" s="484"/>
      <c r="AD132" s="484"/>
      <c r="AE132" s="484"/>
      <c r="AF132" s="484"/>
      <c r="AG132" s="484"/>
      <c r="AH132" s="484"/>
      <c r="AI132" s="484"/>
      <c r="AJ132" s="484"/>
    </row>
    <row r="133" spans="1:36" x14ac:dyDescent="0.35">
      <c r="A133" s="484"/>
      <c r="B133" s="484"/>
      <c r="C133" s="484"/>
      <c r="D133" s="1"/>
      <c r="E133" s="1"/>
      <c r="F133" s="744"/>
      <c r="G133" s="1"/>
      <c r="H133" s="1"/>
      <c r="I133" s="484"/>
      <c r="J133" s="484"/>
      <c r="K133" s="484"/>
      <c r="L133" s="484"/>
      <c r="M133" s="484"/>
      <c r="N133" s="1277"/>
      <c r="O133" s="484"/>
      <c r="P133" s="484"/>
      <c r="Q133" s="484"/>
      <c r="R133" s="484"/>
      <c r="S133" s="484"/>
      <c r="T133" s="484"/>
      <c r="U133" s="484"/>
      <c r="V133" s="484"/>
      <c r="W133" s="484"/>
      <c r="X133" s="484"/>
      <c r="Y133" s="484"/>
      <c r="Z133" s="484"/>
      <c r="AA133" s="484"/>
      <c r="AB133" s="484"/>
      <c r="AC133" s="484"/>
      <c r="AD133" s="484"/>
      <c r="AE133" s="484"/>
      <c r="AF133" s="484"/>
      <c r="AG133" s="484"/>
      <c r="AH133" s="484"/>
      <c r="AI133" s="484"/>
      <c r="AJ133" s="484"/>
    </row>
    <row r="134" spans="1:36" x14ac:dyDescent="0.35">
      <c r="A134" s="484"/>
      <c r="B134" s="484"/>
      <c r="C134" s="484"/>
      <c r="D134" s="1"/>
      <c r="E134" s="1"/>
      <c r="F134" s="744"/>
      <c r="G134" s="1"/>
      <c r="H134" s="1"/>
      <c r="I134" s="484"/>
      <c r="J134" s="484"/>
      <c r="K134" s="484"/>
      <c r="L134" s="484"/>
      <c r="M134" s="484"/>
      <c r="N134" s="1277"/>
      <c r="O134" s="484"/>
      <c r="P134" s="484"/>
      <c r="Q134" s="484"/>
      <c r="R134" s="484"/>
      <c r="S134" s="484"/>
      <c r="T134" s="484"/>
      <c r="U134" s="484"/>
      <c r="V134" s="484"/>
      <c r="W134" s="484"/>
      <c r="X134" s="484"/>
      <c r="Y134" s="484"/>
      <c r="Z134" s="484"/>
      <c r="AA134" s="484"/>
      <c r="AB134" s="484"/>
      <c r="AC134" s="484"/>
      <c r="AD134" s="484"/>
      <c r="AE134" s="484"/>
      <c r="AF134" s="484"/>
      <c r="AG134" s="484"/>
      <c r="AH134" s="484"/>
      <c r="AI134" s="484"/>
      <c r="AJ134" s="484"/>
    </row>
    <row r="135" spans="1:36" x14ac:dyDescent="0.35">
      <c r="A135" s="484"/>
      <c r="B135" s="484"/>
      <c r="C135" s="484"/>
      <c r="D135" s="1"/>
      <c r="E135" s="1"/>
      <c r="F135" s="744"/>
      <c r="G135" s="1"/>
      <c r="H135" s="1"/>
      <c r="I135" s="484"/>
      <c r="J135" s="484"/>
      <c r="K135" s="484"/>
      <c r="L135" s="484"/>
      <c r="M135" s="484"/>
      <c r="N135" s="1277"/>
      <c r="O135" s="484"/>
      <c r="P135" s="484"/>
      <c r="Q135" s="484"/>
      <c r="R135" s="484"/>
      <c r="S135" s="484"/>
      <c r="T135" s="484"/>
      <c r="U135" s="484"/>
      <c r="V135" s="484"/>
      <c r="W135" s="484"/>
      <c r="X135" s="484"/>
      <c r="Y135" s="484"/>
      <c r="Z135" s="484"/>
      <c r="AA135" s="484"/>
      <c r="AB135" s="484"/>
      <c r="AC135" s="484"/>
      <c r="AD135" s="484"/>
      <c r="AE135" s="484"/>
      <c r="AF135" s="484"/>
      <c r="AG135" s="484"/>
      <c r="AH135" s="484"/>
      <c r="AI135" s="484"/>
      <c r="AJ135" s="484"/>
    </row>
    <row r="136" spans="1:36" x14ac:dyDescent="0.35">
      <c r="A136" s="484"/>
      <c r="B136" s="484"/>
      <c r="C136" s="484"/>
      <c r="D136" s="1"/>
      <c r="E136" s="1"/>
      <c r="F136" s="744"/>
      <c r="G136" s="1"/>
      <c r="H136" s="1"/>
      <c r="I136" s="484"/>
      <c r="J136" s="484"/>
      <c r="K136" s="484"/>
      <c r="L136" s="484"/>
      <c r="M136" s="484"/>
      <c r="N136" s="1277"/>
      <c r="O136" s="484"/>
      <c r="P136" s="484"/>
      <c r="Q136" s="484"/>
      <c r="R136" s="484"/>
      <c r="S136" s="484"/>
      <c r="T136" s="484"/>
      <c r="U136" s="484"/>
      <c r="V136" s="484"/>
      <c r="W136" s="484"/>
      <c r="X136" s="484"/>
      <c r="Y136" s="484"/>
      <c r="Z136" s="484"/>
      <c r="AA136" s="484"/>
      <c r="AB136" s="484"/>
      <c r="AC136" s="484"/>
      <c r="AD136" s="484"/>
      <c r="AE136" s="484"/>
      <c r="AF136" s="484"/>
      <c r="AG136" s="484"/>
      <c r="AH136" s="484"/>
      <c r="AI136" s="484"/>
      <c r="AJ136" s="484"/>
    </row>
    <row r="137" spans="1:36" x14ac:dyDescent="0.35">
      <c r="A137" s="484"/>
      <c r="B137" s="484"/>
      <c r="C137" s="484"/>
      <c r="D137" s="1"/>
      <c r="E137" s="1"/>
      <c r="F137" s="744"/>
      <c r="G137" s="1"/>
      <c r="H137" s="1"/>
      <c r="I137" s="484"/>
      <c r="J137" s="484"/>
      <c r="K137" s="484"/>
      <c r="L137" s="484"/>
      <c r="M137" s="484"/>
      <c r="N137" s="1277"/>
      <c r="O137" s="484"/>
      <c r="P137" s="484"/>
      <c r="Q137" s="484"/>
      <c r="R137" s="484"/>
      <c r="S137" s="484"/>
      <c r="T137" s="484"/>
      <c r="U137" s="484"/>
      <c r="V137" s="484"/>
      <c r="W137" s="484"/>
      <c r="X137" s="484"/>
      <c r="Y137" s="484"/>
      <c r="Z137" s="484"/>
      <c r="AA137" s="484"/>
      <c r="AB137" s="484"/>
      <c r="AC137" s="484"/>
      <c r="AD137" s="484"/>
      <c r="AE137" s="484"/>
      <c r="AF137" s="484"/>
      <c r="AG137" s="484"/>
      <c r="AH137" s="484"/>
      <c r="AI137" s="484"/>
      <c r="AJ137" s="484"/>
    </row>
    <row r="138" spans="1:36" x14ac:dyDescent="0.35">
      <c r="A138" s="484"/>
      <c r="B138" s="484"/>
      <c r="C138" s="484"/>
      <c r="D138" s="1"/>
      <c r="E138" s="1"/>
      <c r="F138" s="744"/>
      <c r="G138" s="1"/>
      <c r="H138" s="1"/>
      <c r="I138" s="484"/>
      <c r="J138" s="484"/>
      <c r="K138" s="484"/>
      <c r="L138" s="484"/>
      <c r="M138" s="484"/>
      <c r="N138" s="1277"/>
      <c r="O138" s="484"/>
      <c r="P138" s="484"/>
      <c r="Q138" s="484"/>
      <c r="R138" s="484"/>
      <c r="S138" s="484"/>
      <c r="T138" s="484"/>
      <c r="U138" s="484"/>
      <c r="V138" s="484"/>
      <c r="W138" s="484"/>
      <c r="X138" s="484"/>
      <c r="Y138" s="484"/>
      <c r="Z138" s="484"/>
      <c r="AA138" s="484"/>
      <c r="AB138" s="484"/>
      <c r="AC138" s="484"/>
      <c r="AD138" s="484"/>
      <c r="AE138" s="484"/>
      <c r="AF138" s="484"/>
      <c r="AG138" s="484"/>
      <c r="AH138" s="484"/>
      <c r="AI138" s="484"/>
      <c r="AJ138" s="484"/>
    </row>
    <row r="139" spans="1:36" x14ac:dyDescent="0.35">
      <c r="A139" s="484"/>
      <c r="B139" s="484"/>
      <c r="C139" s="484"/>
      <c r="D139" s="1"/>
      <c r="E139" s="1"/>
      <c r="F139" s="744"/>
      <c r="G139" s="1"/>
      <c r="H139" s="1"/>
      <c r="I139" s="484"/>
      <c r="J139" s="484"/>
      <c r="K139" s="484"/>
      <c r="L139" s="484"/>
      <c r="M139" s="484"/>
      <c r="N139" s="1277"/>
      <c r="O139" s="484"/>
      <c r="P139" s="484"/>
      <c r="Q139" s="484"/>
      <c r="R139" s="484"/>
      <c r="S139" s="484"/>
      <c r="T139" s="484"/>
      <c r="U139" s="484"/>
      <c r="V139" s="484"/>
      <c r="W139" s="484"/>
      <c r="X139" s="484"/>
      <c r="Y139" s="484"/>
      <c r="Z139" s="484"/>
      <c r="AA139" s="484"/>
      <c r="AB139" s="484"/>
      <c r="AC139" s="484"/>
      <c r="AD139" s="484"/>
      <c r="AE139" s="484"/>
      <c r="AF139" s="484"/>
      <c r="AG139" s="484"/>
      <c r="AH139" s="484"/>
      <c r="AI139" s="484"/>
      <c r="AJ139" s="484"/>
    </row>
    <row r="140" spans="1:36" x14ac:dyDescent="0.35">
      <c r="A140" s="484"/>
      <c r="B140" s="484"/>
      <c r="C140" s="484"/>
      <c r="D140" s="1"/>
      <c r="E140" s="1"/>
      <c r="F140" s="744"/>
      <c r="G140" s="1"/>
      <c r="H140" s="1"/>
      <c r="I140" s="484"/>
      <c r="J140" s="484"/>
      <c r="K140" s="484"/>
      <c r="L140" s="484"/>
      <c r="M140" s="484"/>
      <c r="N140" s="1277"/>
      <c r="O140" s="484"/>
      <c r="P140" s="484"/>
      <c r="Q140" s="484"/>
      <c r="R140" s="484"/>
      <c r="S140" s="484"/>
      <c r="T140" s="484"/>
      <c r="U140" s="484"/>
      <c r="V140" s="484"/>
      <c r="W140" s="484"/>
      <c r="X140" s="484"/>
      <c r="Y140" s="484"/>
      <c r="Z140" s="484"/>
      <c r="AA140" s="484"/>
      <c r="AB140" s="484"/>
      <c r="AC140" s="484"/>
      <c r="AD140" s="484"/>
      <c r="AE140" s="484"/>
      <c r="AF140" s="484"/>
      <c r="AG140" s="484"/>
      <c r="AH140" s="484"/>
      <c r="AI140" s="484"/>
      <c r="AJ140" s="484"/>
    </row>
    <row r="141" spans="1:36" x14ac:dyDescent="0.35">
      <c r="A141" s="484"/>
      <c r="B141" s="484"/>
      <c r="C141" s="484"/>
      <c r="D141" s="1"/>
      <c r="E141" s="1"/>
      <c r="F141" s="744"/>
      <c r="G141" s="1"/>
      <c r="H141" s="1"/>
      <c r="I141" s="484"/>
      <c r="J141" s="484"/>
      <c r="K141" s="484"/>
      <c r="L141" s="484"/>
      <c r="M141" s="484"/>
      <c r="N141" s="1277"/>
      <c r="O141" s="484"/>
      <c r="P141" s="484"/>
      <c r="Q141" s="484"/>
      <c r="R141" s="484"/>
      <c r="S141" s="484"/>
      <c r="T141" s="484"/>
      <c r="U141" s="484"/>
      <c r="V141" s="484"/>
      <c r="W141" s="484"/>
      <c r="X141" s="484"/>
      <c r="Y141" s="484"/>
      <c r="Z141" s="484"/>
      <c r="AA141" s="484"/>
      <c r="AB141" s="484"/>
      <c r="AC141" s="484"/>
      <c r="AD141" s="484"/>
      <c r="AE141" s="484"/>
      <c r="AF141" s="484"/>
      <c r="AG141" s="484"/>
      <c r="AH141" s="484"/>
      <c r="AI141" s="484"/>
      <c r="AJ141" s="484"/>
    </row>
    <row r="142" spans="1:36" x14ac:dyDescent="0.35">
      <c r="A142" s="484"/>
      <c r="B142" s="484"/>
      <c r="C142" s="484"/>
      <c r="D142" s="1"/>
      <c r="E142" s="1"/>
      <c r="F142" s="744"/>
      <c r="G142" s="1"/>
      <c r="H142" s="1"/>
      <c r="I142" s="484"/>
      <c r="J142" s="484"/>
      <c r="K142" s="484"/>
      <c r="L142" s="484"/>
      <c r="M142" s="484"/>
      <c r="N142" s="1277"/>
      <c r="O142" s="484"/>
      <c r="P142" s="484"/>
      <c r="Q142" s="484"/>
      <c r="R142" s="484"/>
      <c r="S142" s="484"/>
      <c r="T142" s="484"/>
      <c r="U142" s="484"/>
      <c r="V142" s="484"/>
      <c r="W142" s="484"/>
      <c r="X142" s="484"/>
      <c r="Y142" s="484"/>
      <c r="Z142" s="484"/>
      <c r="AA142" s="484"/>
      <c r="AB142" s="484"/>
      <c r="AC142" s="484"/>
      <c r="AD142" s="484"/>
      <c r="AE142" s="484"/>
      <c r="AF142" s="484"/>
      <c r="AG142" s="484"/>
      <c r="AH142" s="484"/>
      <c r="AI142" s="484"/>
      <c r="AJ142" s="484"/>
    </row>
    <row r="143" spans="1:36" x14ac:dyDescent="0.35">
      <c r="A143" s="484"/>
      <c r="B143" s="484"/>
      <c r="C143" s="484"/>
      <c r="D143" s="1"/>
      <c r="E143" s="1"/>
      <c r="F143" s="744"/>
      <c r="G143" s="1"/>
      <c r="H143" s="1"/>
      <c r="I143" s="484"/>
      <c r="J143" s="484"/>
      <c r="K143" s="484"/>
      <c r="L143" s="484"/>
      <c r="M143" s="484"/>
      <c r="N143" s="1277"/>
      <c r="O143" s="484"/>
      <c r="P143" s="484"/>
      <c r="Q143" s="484"/>
      <c r="R143" s="484"/>
      <c r="S143" s="484"/>
      <c r="T143" s="484"/>
      <c r="U143" s="484"/>
      <c r="V143" s="484"/>
      <c r="W143" s="484"/>
      <c r="X143" s="484"/>
      <c r="Y143" s="484"/>
      <c r="Z143" s="484"/>
      <c r="AA143" s="484"/>
      <c r="AB143" s="484"/>
      <c r="AC143" s="484"/>
      <c r="AD143" s="484"/>
      <c r="AE143" s="484"/>
      <c r="AF143" s="484"/>
      <c r="AG143" s="484"/>
      <c r="AH143" s="484"/>
      <c r="AI143" s="484"/>
      <c r="AJ143" s="484"/>
    </row>
    <row r="144" spans="1:36" x14ac:dyDescent="0.35">
      <c r="A144" s="484"/>
      <c r="B144" s="484"/>
      <c r="C144" s="484"/>
      <c r="D144" s="1"/>
      <c r="E144" s="1"/>
      <c r="F144" s="744"/>
      <c r="G144" s="1"/>
      <c r="H144" s="1"/>
      <c r="I144" s="484"/>
      <c r="J144" s="484"/>
      <c r="K144" s="484"/>
      <c r="L144" s="484"/>
      <c r="M144" s="484"/>
      <c r="N144" s="1277"/>
      <c r="O144" s="484"/>
      <c r="P144" s="484"/>
      <c r="Q144" s="484"/>
      <c r="R144" s="484"/>
      <c r="S144" s="484"/>
      <c r="T144" s="484"/>
      <c r="U144" s="484"/>
      <c r="V144" s="484"/>
      <c r="W144" s="484"/>
      <c r="X144" s="484"/>
      <c r="Y144" s="484"/>
      <c r="Z144" s="484"/>
      <c r="AA144" s="484"/>
      <c r="AB144" s="484"/>
      <c r="AC144" s="484"/>
      <c r="AD144" s="484"/>
      <c r="AE144" s="484"/>
      <c r="AF144" s="484"/>
      <c r="AG144" s="484"/>
      <c r="AH144" s="484"/>
      <c r="AI144" s="484"/>
      <c r="AJ144" s="484"/>
    </row>
    <row r="145" spans="1:36" x14ac:dyDescent="0.35">
      <c r="A145" s="484"/>
      <c r="B145" s="484"/>
      <c r="C145" s="484"/>
      <c r="D145" s="1"/>
      <c r="E145" s="1"/>
      <c r="F145" s="744"/>
      <c r="G145" s="1"/>
      <c r="H145" s="1"/>
      <c r="I145" s="484"/>
      <c r="J145" s="484"/>
      <c r="K145" s="484"/>
      <c r="L145" s="484"/>
      <c r="M145" s="484"/>
      <c r="N145" s="1277"/>
      <c r="O145" s="484"/>
      <c r="P145" s="484"/>
      <c r="Q145" s="484"/>
      <c r="R145" s="484"/>
      <c r="S145" s="484"/>
      <c r="T145" s="484"/>
      <c r="U145" s="484"/>
      <c r="V145" s="484"/>
      <c r="W145" s="484"/>
      <c r="X145" s="484"/>
      <c r="Y145" s="484"/>
      <c r="Z145" s="484"/>
      <c r="AA145" s="484"/>
      <c r="AB145" s="484"/>
      <c r="AC145" s="484"/>
      <c r="AD145" s="484"/>
      <c r="AE145" s="484"/>
      <c r="AF145" s="484"/>
      <c r="AG145" s="484"/>
      <c r="AH145" s="484"/>
      <c r="AI145" s="484"/>
      <c r="AJ145" s="484"/>
    </row>
    <row r="146" spans="1:36" x14ac:dyDescent="0.35">
      <c r="A146" s="484"/>
      <c r="B146" s="484"/>
      <c r="C146" s="484"/>
      <c r="D146" s="1"/>
      <c r="E146" s="1"/>
      <c r="F146" s="744"/>
      <c r="G146" s="1"/>
      <c r="H146" s="1"/>
      <c r="I146" s="484"/>
      <c r="J146" s="484"/>
      <c r="K146" s="484"/>
      <c r="L146" s="484"/>
      <c r="M146" s="484"/>
      <c r="N146" s="1277"/>
      <c r="O146" s="484"/>
      <c r="P146" s="484"/>
      <c r="Q146" s="484"/>
      <c r="R146" s="484"/>
      <c r="S146" s="484"/>
      <c r="T146" s="484"/>
      <c r="U146" s="484"/>
      <c r="V146" s="484"/>
      <c r="W146" s="484"/>
      <c r="X146" s="484"/>
      <c r="Y146" s="484"/>
      <c r="Z146" s="484"/>
      <c r="AA146" s="484"/>
      <c r="AB146" s="484"/>
      <c r="AC146" s="484"/>
      <c r="AD146" s="484"/>
      <c r="AE146" s="484"/>
      <c r="AF146" s="484"/>
      <c r="AG146" s="484"/>
      <c r="AH146" s="484"/>
      <c r="AI146" s="484"/>
      <c r="AJ146" s="484"/>
    </row>
    <row r="147" spans="1:36" x14ac:dyDescent="0.35">
      <c r="A147" s="484"/>
      <c r="B147" s="484"/>
      <c r="C147" s="484"/>
      <c r="D147" s="1"/>
      <c r="E147" s="1"/>
      <c r="F147" s="744"/>
      <c r="G147" s="1"/>
      <c r="H147" s="1"/>
      <c r="I147" s="484"/>
      <c r="J147" s="484"/>
      <c r="K147" s="484"/>
      <c r="L147" s="484"/>
      <c r="M147" s="484"/>
      <c r="N147" s="1277"/>
      <c r="O147" s="484"/>
      <c r="P147" s="484"/>
      <c r="Q147" s="484"/>
      <c r="R147" s="484"/>
      <c r="S147" s="484"/>
      <c r="T147" s="484"/>
      <c r="U147" s="484"/>
      <c r="V147" s="484"/>
      <c r="W147" s="484"/>
      <c r="X147" s="484"/>
      <c r="Y147" s="484"/>
      <c r="Z147" s="484"/>
      <c r="AA147" s="484"/>
      <c r="AB147" s="484"/>
      <c r="AC147" s="484"/>
      <c r="AD147" s="484"/>
      <c r="AE147" s="484"/>
      <c r="AF147" s="484"/>
      <c r="AG147" s="484"/>
      <c r="AH147" s="484"/>
      <c r="AI147" s="484"/>
      <c r="AJ147" s="484"/>
    </row>
    <row r="148" spans="1:36" x14ac:dyDescent="0.35">
      <c r="A148" s="484"/>
      <c r="B148" s="484"/>
      <c r="C148" s="484"/>
      <c r="D148" s="1"/>
      <c r="E148" s="1"/>
      <c r="F148" s="744"/>
      <c r="G148" s="1"/>
      <c r="H148" s="1"/>
      <c r="I148" s="484"/>
      <c r="J148" s="484"/>
      <c r="K148" s="484"/>
      <c r="L148" s="484"/>
      <c r="M148" s="484"/>
      <c r="N148" s="1277"/>
      <c r="O148" s="484"/>
      <c r="P148" s="484"/>
      <c r="Q148" s="484"/>
      <c r="R148" s="484"/>
      <c r="S148" s="484"/>
      <c r="T148" s="484"/>
      <c r="U148" s="484"/>
      <c r="V148" s="484"/>
      <c r="W148" s="484"/>
      <c r="X148" s="484"/>
      <c r="Y148" s="484"/>
      <c r="Z148" s="484"/>
      <c r="AA148" s="484"/>
      <c r="AB148" s="484"/>
      <c r="AC148" s="484"/>
      <c r="AD148" s="484"/>
      <c r="AE148" s="484"/>
      <c r="AF148" s="484"/>
      <c r="AG148" s="484"/>
      <c r="AH148" s="484"/>
      <c r="AI148" s="484"/>
      <c r="AJ148" s="484"/>
    </row>
    <row r="149" spans="1:36" x14ac:dyDescent="0.35">
      <c r="A149" s="484"/>
      <c r="B149" s="484"/>
      <c r="C149" s="484"/>
      <c r="D149" s="1"/>
      <c r="E149" s="1"/>
      <c r="F149" s="744"/>
      <c r="G149" s="1"/>
      <c r="H149" s="1"/>
      <c r="I149" s="484"/>
      <c r="J149" s="484"/>
      <c r="K149" s="484"/>
      <c r="L149" s="484"/>
      <c r="M149" s="484"/>
      <c r="N149" s="1277"/>
      <c r="O149" s="484"/>
      <c r="P149" s="484"/>
      <c r="Q149" s="484"/>
      <c r="R149" s="484"/>
      <c r="S149" s="484"/>
      <c r="T149" s="484"/>
      <c r="U149" s="484"/>
      <c r="V149" s="484"/>
      <c r="W149" s="484"/>
      <c r="X149" s="484"/>
      <c r="Y149" s="484"/>
      <c r="Z149" s="484"/>
      <c r="AA149" s="484"/>
      <c r="AB149" s="484"/>
      <c r="AC149" s="484"/>
      <c r="AD149" s="484"/>
      <c r="AE149" s="484"/>
      <c r="AF149" s="484"/>
      <c r="AG149" s="484"/>
      <c r="AH149" s="484"/>
      <c r="AI149" s="484"/>
      <c r="AJ149" s="484"/>
    </row>
    <row r="150" spans="1:36" x14ac:dyDescent="0.35">
      <c r="A150" s="484"/>
      <c r="B150" s="484"/>
      <c r="C150" s="484"/>
      <c r="D150" s="1"/>
      <c r="E150" s="1"/>
      <c r="F150" s="744"/>
      <c r="G150" s="1"/>
      <c r="H150" s="1"/>
      <c r="I150" s="484"/>
      <c r="J150" s="484"/>
      <c r="K150" s="484"/>
      <c r="L150" s="484"/>
      <c r="M150" s="484"/>
      <c r="N150" s="1277"/>
      <c r="O150" s="484"/>
      <c r="P150" s="484"/>
      <c r="Q150" s="484"/>
      <c r="R150" s="484"/>
      <c r="S150" s="484"/>
      <c r="T150" s="484"/>
      <c r="U150" s="484"/>
      <c r="V150" s="484"/>
      <c r="W150" s="484"/>
      <c r="X150" s="484"/>
      <c r="Y150" s="484"/>
      <c r="Z150" s="484"/>
      <c r="AA150" s="484"/>
      <c r="AB150" s="484"/>
      <c r="AC150" s="484"/>
      <c r="AD150" s="484"/>
      <c r="AE150" s="484"/>
      <c r="AF150" s="484"/>
      <c r="AG150" s="484"/>
      <c r="AH150" s="484"/>
      <c r="AI150" s="484"/>
      <c r="AJ150" s="484"/>
    </row>
    <row r="151" spans="1:36" x14ac:dyDescent="0.35">
      <c r="A151" s="484"/>
      <c r="B151" s="484"/>
      <c r="C151" s="484"/>
      <c r="D151" s="1"/>
      <c r="E151" s="1"/>
      <c r="F151" s="744"/>
      <c r="G151" s="1"/>
      <c r="H151" s="1"/>
      <c r="I151" s="484"/>
      <c r="J151" s="484"/>
      <c r="K151" s="484"/>
      <c r="L151" s="484"/>
      <c r="M151" s="484"/>
      <c r="N151" s="1277"/>
      <c r="O151" s="484"/>
      <c r="P151" s="484"/>
      <c r="Q151" s="484"/>
      <c r="R151" s="484"/>
      <c r="S151" s="484"/>
      <c r="T151" s="484"/>
      <c r="U151" s="484"/>
      <c r="V151" s="484"/>
      <c r="W151" s="484"/>
      <c r="X151" s="484"/>
      <c r="Y151" s="484"/>
      <c r="Z151" s="484"/>
      <c r="AA151" s="484"/>
      <c r="AB151" s="484"/>
      <c r="AC151" s="484"/>
      <c r="AD151" s="484"/>
      <c r="AE151" s="484"/>
      <c r="AF151" s="484"/>
      <c r="AG151" s="484"/>
      <c r="AH151" s="484"/>
      <c r="AI151" s="484"/>
      <c r="AJ151" s="484"/>
    </row>
    <row r="152" spans="1:36" x14ac:dyDescent="0.35">
      <c r="A152" s="484"/>
      <c r="B152" s="484"/>
      <c r="C152" s="484"/>
      <c r="D152" s="1"/>
      <c r="E152" s="1"/>
      <c r="F152" s="744"/>
      <c r="G152" s="1"/>
      <c r="H152" s="1"/>
      <c r="I152" s="484"/>
      <c r="J152" s="484"/>
      <c r="K152" s="484"/>
      <c r="L152" s="484"/>
      <c r="M152" s="484"/>
      <c r="N152" s="1277"/>
      <c r="O152" s="484"/>
      <c r="P152" s="484"/>
      <c r="Q152" s="484"/>
      <c r="R152" s="484"/>
      <c r="S152" s="484"/>
      <c r="T152" s="484"/>
      <c r="U152" s="484"/>
      <c r="V152" s="484"/>
      <c r="W152" s="484"/>
      <c r="X152" s="484"/>
      <c r="Y152" s="484"/>
      <c r="Z152" s="484"/>
      <c r="AA152" s="484"/>
      <c r="AB152" s="484"/>
      <c r="AC152" s="484"/>
      <c r="AD152" s="484"/>
      <c r="AE152" s="484"/>
      <c r="AF152" s="484"/>
      <c r="AG152" s="484"/>
      <c r="AH152" s="484"/>
      <c r="AI152" s="484"/>
      <c r="AJ152" s="484"/>
    </row>
    <row r="153" spans="1:36" x14ac:dyDescent="0.35">
      <c r="A153" s="484"/>
      <c r="B153" s="484"/>
      <c r="C153" s="484"/>
      <c r="D153" s="1"/>
      <c r="E153" s="1"/>
      <c r="F153" s="744"/>
      <c r="G153" s="1"/>
      <c r="H153" s="1"/>
      <c r="I153" s="484"/>
      <c r="J153" s="484"/>
      <c r="K153" s="484"/>
      <c r="L153" s="484"/>
      <c r="M153" s="484"/>
      <c r="N153" s="1277"/>
      <c r="O153" s="484"/>
      <c r="P153" s="484"/>
      <c r="Q153" s="484"/>
      <c r="R153" s="484"/>
      <c r="S153" s="484"/>
      <c r="T153" s="484"/>
      <c r="U153" s="484"/>
      <c r="V153" s="484"/>
      <c r="W153" s="484"/>
      <c r="X153" s="484"/>
      <c r="Y153" s="484"/>
      <c r="Z153" s="484"/>
      <c r="AA153" s="484"/>
      <c r="AB153" s="484"/>
      <c r="AC153" s="484"/>
      <c r="AD153" s="484"/>
      <c r="AE153" s="484"/>
      <c r="AF153" s="484"/>
      <c r="AG153" s="484"/>
      <c r="AH153" s="484"/>
      <c r="AI153" s="484"/>
      <c r="AJ153" s="484"/>
    </row>
    <row r="154" spans="1:36" x14ac:dyDescent="0.35">
      <c r="A154" s="484"/>
      <c r="B154" s="484"/>
      <c r="C154" s="484"/>
      <c r="D154" s="1"/>
      <c r="E154" s="1"/>
      <c r="F154" s="744"/>
      <c r="G154" s="1"/>
      <c r="H154" s="1"/>
      <c r="I154" s="484"/>
      <c r="J154" s="484"/>
      <c r="K154" s="484"/>
      <c r="L154" s="484"/>
      <c r="M154" s="484"/>
      <c r="N154" s="1277"/>
      <c r="O154" s="484"/>
      <c r="P154" s="484"/>
      <c r="Q154" s="484"/>
      <c r="R154" s="484"/>
      <c r="S154" s="484"/>
      <c r="T154" s="484"/>
      <c r="U154" s="484"/>
      <c r="V154" s="484"/>
      <c r="W154" s="484"/>
      <c r="X154" s="484"/>
      <c r="Y154" s="484"/>
      <c r="Z154" s="484"/>
      <c r="AA154" s="484"/>
      <c r="AB154" s="484"/>
      <c r="AC154" s="484"/>
      <c r="AD154" s="484"/>
      <c r="AE154" s="484"/>
      <c r="AF154" s="484"/>
      <c r="AG154" s="484"/>
      <c r="AH154" s="484"/>
      <c r="AI154" s="484"/>
      <c r="AJ154" s="484"/>
    </row>
    <row r="155" spans="1:36" x14ac:dyDescent="0.35">
      <c r="A155" s="484"/>
      <c r="B155" s="484"/>
      <c r="C155" s="484"/>
      <c r="D155" s="1"/>
      <c r="E155" s="1"/>
      <c r="F155" s="744"/>
      <c r="G155" s="1"/>
      <c r="H155" s="1"/>
      <c r="I155" s="484"/>
      <c r="J155" s="484"/>
      <c r="K155" s="484"/>
      <c r="L155" s="484"/>
      <c r="M155" s="484"/>
      <c r="N155" s="1277"/>
      <c r="O155" s="484"/>
      <c r="P155" s="484"/>
      <c r="Q155" s="484"/>
      <c r="R155" s="484"/>
      <c r="S155" s="484"/>
      <c r="T155" s="484"/>
      <c r="U155" s="484"/>
      <c r="V155" s="484"/>
      <c r="W155" s="484"/>
      <c r="X155" s="484"/>
      <c r="Y155" s="484"/>
      <c r="Z155" s="484"/>
      <c r="AA155" s="484"/>
      <c r="AB155" s="484"/>
      <c r="AC155" s="484"/>
      <c r="AD155" s="484"/>
      <c r="AE155" s="484"/>
      <c r="AF155" s="484"/>
      <c r="AG155" s="484"/>
      <c r="AH155" s="484"/>
      <c r="AI155" s="484"/>
      <c r="AJ155" s="484"/>
    </row>
    <row r="156" spans="1:36" x14ac:dyDescent="0.35">
      <c r="A156" s="484"/>
      <c r="B156" s="484"/>
      <c r="C156" s="484"/>
      <c r="D156" s="1"/>
      <c r="E156" s="1"/>
      <c r="F156" s="744"/>
      <c r="G156" s="1"/>
      <c r="H156" s="1"/>
      <c r="I156" s="484"/>
      <c r="J156" s="484"/>
      <c r="K156" s="484"/>
      <c r="L156" s="484"/>
      <c r="M156" s="484"/>
      <c r="N156" s="1277"/>
      <c r="O156" s="484"/>
      <c r="P156" s="484"/>
      <c r="Q156" s="484"/>
      <c r="R156" s="484"/>
      <c r="S156" s="484"/>
      <c r="T156" s="484"/>
      <c r="U156" s="484"/>
      <c r="V156" s="484"/>
      <c r="W156" s="484"/>
      <c r="X156" s="484"/>
      <c r="Y156" s="484"/>
      <c r="Z156" s="484"/>
      <c r="AA156" s="484"/>
      <c r="AB156" s="484"/>
      <c r="AC156" s="484"/>
      <c r="AD156" s="484"/>
      <c r="AE156" s="484"/>
      <c r="AF156" s="484"/>
      <c r="AG156" s="484"/>
      <c r="AH156" s="484"/>
      <c r="AI156" s="484"/>
      <c r="AJ156" s="484"/>
    </row>
    <row r="157" spans="1:36" x14ac:dyDescent="0.35">
      <c r="A157" s="484"/>
      <c r="B157" s="484"/>
      <c r="C157" s="484"/>
      <c r="D157" s="1"/>
      <c r="E157" s="1"/>
      <c r="F157" s="744"/>
      <c r="G157" s="1"/>
      <c r="H157" s="1"/>
      <c r="I157" s="484"/>
      <c r="J157" s="484"/>
      <c r="K157" s="484"/>
      <c r="L157" s="484"/>
      <c r="M157" s="484"/>
      <c r="N157" s="1277"/>
      <c r="O157" s="484"/>
      <c r="P157" s="484"/>
      <c r="Q157" s="484"/>
      <c r="R157" s="484"/>
      <c r="S157" s="484"/>
      <c r="T157" s="484"/>
      <c r="U157" s="484"/>
      <c r="V157" s="484"/>
      <c r="W157" s="484"/>
      <c r="X157" s="484"/>
      <c r="Y157" s="484"/>
      <c r="Z157" s="484"/>
      <c r="AA157" s="484"/>
      <c r="AB157" s="484"/>
      <c r="AC157" s="484"/>
      <c r="AD157" s="484"/>
      <c r="AE157" s="484"/>
      <c r="AF157" s="484"/>
      <c r="AG157" s="484"/>
      <c r="AH157" s="484"/>
      <c r="AI157" s="484"/>
      <c r="AJ157" s="484"/>
    </row>
    <row r="158" spans="1:36" x14ac:dyDescent="0.35">
      <c r="A158" s="484"/>
      <c r="B158" s="484"/>
      <c r="C158" s="484"/>
      <c r="D158" s="1"/>
      <c r="E158" s="1"/>
      <c r="F158" s="744"/>
      <c r="G158" s="1"/>
      <c r="H158" s="1"/>
      <c r="I158" s="484"/>
      <c r="J158" s="484"/>
      <c r="K158" s="484"/>
      <c r="L158" s="484"/>
      <c r="M158" s="484"/>
      <c r="N158" s="1277"/>
      <c r="O158" s="484"/>
      <c r="P158" s="484"/>
      <c r="Q158" s="484"/>
      <c r="R158" s="484"/>
      <c r="S158" s="484"/>
      <c r="T158" s="484"/>
      <c r="U158" s="484"/>
      <c r="V158" s="484"/>
      <c r="W158" s="484"/>
      <c r="X158" s="484"/>
      <c r="Y158" s="484"/>
      <c r="Z158" s="484"/>
      <c r="AA158" s="484"/>
      <c r="AB158" s="484"/>
      <c r="AC158" s="484"/>
      <c r="AD158" s="484"/>
      <c r="AE158" s="484"/>
      <c r="AF158" s="484"/>
      <c r="AG158" s="484"/>
      <c r="AH158" s="484"/>
      <c r="AI158" s="484"/>
      <c r="AJ158" s="484"/>
    </row>
    <row r="159" spans="1:36" x14ac:dyDescent="0.35">
      <c r="A159" s="484"/>
      <c r="B159" s="484"/>
      <c r="C159" s="484"/>
      <c r="D159" s="1"/>
      <c r="E159" s="1"/>
      <c r="F159" s="744"/>
      <c r="G159" s="1"/>
      <c r="H159" s="1"/>
      <c r="I159" s="484"/>
      <c r="J159" s="484"/>
      <c r="K159" s="484"/>
      <c r="L159" s="484"/>
      <c r="M159" s="484"/>
      <c r="N159" s="1277"/>
      <c r="O159" s="484"/>
      <c r="P159" s="484"/>
      <c r="Q159" s="484"/>
      <c r="R159" s="484"/>
      <c r="S159" s="484"/>
      <c r="T159" s="484"/>
      <c r="U159" s="484"/>
      <c r="V159" s="484"/>
      <c r="W159" s="484"/>
      <c r="X159" s="484"/>
      <c r="Y159" s="484"/>
      <c r="Z159" s="484"/>
      <c r="AA159" s="484"/>
      <c r="AB159" s="484"/>
      <c r="AC159" s="484"/>
      <c r="AD159" s="484"/>
      <c r="AE159" s="484"/>
      <c r="AF159" s="484"/>
      <c r="AG159" s="484"/>
      <c r="AH159" s="484"/>
      <c r="AI159" s="484"/>
      <c r="AJ159" s="484"/>
    </row>
    <row r="160" spans="1:36" x14ac:dyDescent="0.35">
      <c r="A160" s="484"/>
      <c r="B160" s="484"/>
      <c r="C160" s="484"/>
      <c r="D160" s="1"/>
      <c r="E160" s="1"/>
      <c r="F160" s="744"/>
      <c r="G160" s="1"/>
      <c r="H160" s="1"/>
      <c r="I160" s="484"/>
      <c r="J160" s="484"/>
      <c r="K160" s="484"/>
      <c r="L160" s="484"/>
      <c r="M160" s="484"/>
      <c r="N160" s="1277"/>
      <c r="O160" s="484"/>
      <c r="P160" s="484"/>
      <c r="Q160" s="484"/>
      <c r="R160" s="484"/>
      <c r="S160" s="484"/>
      <c r="T160" s="484"/>
      <c r="U160" s="484"/>
      <c r="V160" s="484"/>
      <c r="W160" s="484"/>
      <c r="X160" s="484"/>
      <c r="Y160" s="484"/>
      <c r="Z160" s="484"/>
      <c r="AA160" s="484"/>
      <c r="AB160" s="484"/>
      <c r="AC160" s="484"/>
      <c r="AD160" s="484"/>
      <c r="AE160" s="484"/>
      <c r="AF160" s="484"/>
      <c r="AG160" s="484"/>
      <c r="AH160" s="484"/>
      <c r="AI160" s="484"/>
      <c r="AJ160" s="484"/>
    </row>
    <row r="161" spans="1:36" x14ac:dyDescent="0.35">
      <c r="A161" s="484"/>
      <c r="B161" s="484"/>
      <c r="C161" s="484"/>
      <c r="D161" s="1"/>
      <c r="E161" s="1"/>
      <c r="F161" s="744"/>
      <c r="G161" s="1"/>
      <c r="H161" s="1"/>
      <c r="I161" s="484"/>
      <c r="J161" s="484"/>
      <c r="K161" s="484"/>
      <c r="L161" s="484"/>
      <c r="M161" s="484"/>
      <c r="N161" s="1277"/>
      <c r="O161" s="484"/>
      <c r="P161" s="484"/>
      <c r="Q161" s="484"/>
      <c r="R161" s="484"/>
      <c r="S161" s="484"/>
      <c r="T161" s="484"/>
      <c r="U161" s="484"/>
      <c r="V161" s="484"/>
      <c r="W161" s="484"/>
      <c r="X161" s="484"/>
      <c r="Y161" s="484"/>
      <c r="Z161" s="484"/>
      <c r="AA161" s="484"/>
      <c r="AB161" s="484"/>
      <c r="AC161" s="484"/>
      <c r="AD161" s="484"/>
      <c r="AE161" s="484"/>
      <c r="AF161" s="484"/>
      <c r="AG161" s="484"/>
      <c r="AH161" s="484"/>
      <c r="AI161" s="484"/>
      <c r="AJ161" s="484"/>
    </row>
    <row r="162" spans="1:36" x14ac:dyDescent="0.35">
      <c r="A162" s="484"/>
      <c r="B162" s="484"/>
      <c r="C162" s="484"/>
      <c r="D162" s="1"/>
      <c r="E162" s="1"/>
      <c r="F162" s="744"/>
      <c r="G162" s="1"/>
      <c r="H162" s="1"/>
      <c r="I162" s="484"/>
      <c r="J162" s="484"/>
      <c r="K162" s="484"/>
      <c r="L162" s="484"/>
      <c r="M162" s="484"/>
      <c r="N162" s="1277"/>
      <c r="O162" s="484"/>
      <c r="P162" s="484"/>
      <c r="Q162" s="484"/>
      <c r="R162" s="484"/>
      <c r="S162" s="484"/>
      <c r="T162" s="484"/>
      <c r="U162" s="484"/>
      <c r="V162" s="484"/>
      <c r="W162" s="484"/>
      <c r="X162" s="484"/>
      <c r="Y162" s="484"/>
      <c r="Z162" s="484"/>
      <c r="AA162" s="484"/>
      <c r="AB162" s="484"/>
      <c r="AC162" s="484"/>
      <c r="AD162" s="484"/>
      <c r="AE162" s="484"/>
      <c r="AF162" s="484"/>
      <c r="AG162" s="484"/>
      <c r="AH162" s="484"/>
      <c r="AI162" s="484"/>
      <c r="AJ162" s="484"/>
    </row>
    <row r="163" spans="1:36" x14ac:dyDescent="0.35">
      <c r="A163" s="484"/>
      <c r="B163" s="484"/>
      <c r="C163" s="484"/>
      <c r="D163" s="1"/>
      <c r="E163" s="1"/>
      <c r="F163" s="744"/>
      <c r="G163" s="1"/>
      <c r="H163" s="1"/>
      <c r="I163" s="484"/>
      <c r="J163" s="484"/>
      <c r="K163" s="484"/>
      <c r="L163" s="484"/>
      <c r="M163" s="484"/>
      <c r="N163" s="1277"/>
      <c r="O163" s="484"/>
      <c r="P163" s="484"/>
      <c r="Q163" s="484"/>
      <c r="R163" s="484"/>
      <c r="S163" s="484"/>
      <c r="T163" s="484"/>
      <c r="U163" s="484"/>
      <c r="V163" s="484"/>
      <c r="W163" s="484"/>
      <c r="X163" s="484"/>
      <c r="Y163" s="484"/>
      <c r="Z163" s="484"/>
      <c r="AA163" s="484"/>
      <c r="AB163" s="484"/>
      <c r="AC163" s="484"/>
      <c r="AD163" s="484"/>
      <c r="AE163" s="484"/>
      <c r="AF163" s="484"/>
      <c r="AG163" s="484"/>
      <c r="AH163" s="484"/>
      <c r="AI163" s="484"/>
      <c r="AJ163" s="484"/>
    </row>
    <row r="164" spans="1:36" x14ac:dyDescent="0.35">
      <c r="A164" s="484"/>
      <c r="B164" s="484"/>
      <c r="C164" s="484"/>
      <c r="D164" s="1"/>
      <c r="E164" s="1"/>
      <c r="F164" s="744"/>
      <c r="G164" s="1"/>
      <c r="H164" s="1"/>
      <c r="I164" s="484"/>
      <c r="J164" s="484"/>
      <c r="K164" s="484"/>
      <c r="L164" s="484"/>
      <c r="M164" s="484"/>
      <c r="N164" s="1277"/>
      <c r="O164" s="484"/>
      <c r="P164" s="484"/>
      <c r="Q164" s="484"/>
      <c r="R164" s="484"/>
      <c r="S164" s="484"/>
      <c r="T164" s="484"/>
      <c r="U164" s="484"/>
      <c r="V164" s="484"/>
      <c r="W164" s="484"/>
      <c r="X164" s="484"/>
      <c r="Y164" s="484"/>
      <c r="Z164" s="484"/>
      <c r="AA164" s="484"/>
      <c r="AB164" s="484"/>
      <c r="AC164" s="484"/>
      <c r="AD164" s="484"/>
      <c r="AE164" s="484"/>
      <c r="AF164" s="484"/>
      <c r="AG164" s="484"/>
      <c r="AH164" s="484"/>
      <c r="AI164" s="484"/>
      <c r="AJ164" s="484"/>
    </row>
    <row r="165" spans="1:36" x14ac:dyDescent="0.35">
      <c r="A165" s="484"/>
      <c r="B165" s="484"/>
      <c r="C165" s="484"/>
      <c r="D165" s="1"/>
      <c r="E165" s="1"/>
      <c r="F165" s="744"/>
      <c r="G165" s="1"/>
      <c r="H165" s="1"/>
      <c r="I165" s="484"/>
      <c r="J165" s="484"/>
      <c r="K165" s="484"/>
      <c r="L165" s="484"/>
      <c r="M165" s="484"/>
      <c r="N165" s="1277"/>
      <c r="O165" s="484"/>
      <c r="P165" s="484"/>
      <c r="Q165" s="484"/>
      <c r="R165" s="484"/>
      <c r="S165" s="484"/>
      <c r="T165" s="484"/>
      <c r="U165" s="484"/>
      <c r="V165" s="484"/>
      <c r="W165" s="484"/>
      <c r="X165" s="484"/>
      <c r="Y165" s="484"/>
      <c r="Z165" s="484"/>
      <c r="AA165" s="484"/>
      <c r="AB165" s="484"/>
      <c r="AC165" s="484"/>
      <c r="AD165" s="484"/>
      <c r="AE165" s="484"/>
      <c r="AF165" s="484"/>
      <c r="AG165" s="484"/>
      <c r="AH165" s="484"/>
      <c r="AI165" s="484"/>
      <c r="AJ165" s="484"/>
    </row>
    <row r="166" spans="1:36" x14ac:dyDescent="0.35">
      <c r="A166" s="484"/>
      <c r="B166" s="484"/>
      <c r="C166" s="484"/>
      <c r="D166" s="1"/>
      <c r="E166" s="1"/>
      <c r="F166" s="744"/>
      <c r="G166" s="1"/>
      <c r="H166" s="1"/>
      <c r="I166" s="484"/>
      <c r="J166" s="484"/>
      <c r="K166" s="484"/>
      <c r="L166" s="484"/>
      <c r="M166" s="484"/>
      <c r="N166" s="1277"/>
      <c r="O166" s="484"/>
      <c r="P166" s="484"/>
      <c r="Q166" s="484"/>
      <c r="R166" s="484"/>
      <c r="S166" s="484"/>
      <c r="T166" s="484"/>
      <c r="U166" s="484"/>
      <c r="V166" s="484"/>
      <c r="W166" s="484"/>
      <c r="X166" s="484"/>
      <c r="Y166" s="484"/>
      <c r="Z166" s="484"/>
      <c r="AA166" s="484"/>
      <c r="AB166" s="484"/>
      <c r="AC166" s="484"/>
      <c r="AD166" s="484"/>
      <c r="AE166" s="484"/>
      <c r="AF166" s="484"/>
      <c r="AG166" s="484"/>
      <c r="AH166" s="484"/>
      <c r="AI166" s="484"/>
      <c r="AJ166" s="484"/>
    </row>
    <row r="167" spans="1:36" x14ac:dyDescent="0.35">
      <c r="A167" s="484"/>
      <c r="B167" s="484"/>
      <c r="C167" s="484"/>
      <c r="D167" s="1"/>
      <c r="E167" s="1"/>
      <c r="F167" s="744"/>
      <c r="G167" s="1"/>
      <c r="H167" s="1"/>
      <c r="I167" s="484"/>
      <c r="J167" s="484"/>
      <c r="K167" s="484"/>
      <c r="L167" s="484"/>
      <c r="M167" s="484"/>
      <c r="N167" s="1277"/>
      <c r="O167" s="484"/>
      <c r="P167" s="484"/>
      <c r="Q167" s="484"/>
      <c r="R167" s="484"/>
      <c r="S167" s="484"/>
      <c r="T167" s="484"/>
      <c r="U167" s="484"/>
      <c r="V167" s="484"/>
      <c r="W167" s="484"/>
      <c r="X167" s="484"/>
      <c r="Y167" s="484"/>
      <c r="Z167" s="484"/>
      <c r="AA167" s="484"/>
      <c r="AB167" s="484"/>
      <c r="AC167" s="484"/>
      <c r="AD167" s="484"/>
      <c r="AE167" s="484"/>
      <c r="AF167" s="484"/>
      <c r="AG167" s="484"/>
      <c r="AH167" s="484"/>
      <c r="AI167" s="484"/>
      <c r="AJ167" s="484"/>
    </row>
    <row r="168" spans="1:36" x14ac:dyDescent="0.35">
      <c r="A168" s="484"/>
      <c r="B168" s="484"/>
      <c r="C168" s="484"/>
      <c r="D168" s="1"/>
      <c r="E168" s="1"/>
      <c r="F168" s="744"/>
      <c r="G168" s="1"/>
      <c r="H168" s="1"/>
      <c r="I168" s="484"/>
      <c r="J168" s="484"/>
      <c r="K168" s="484"/>
      <c r="L168" s="484"/>
      <c r="M168" s="484"/>
      <c r="N168" s="1277"/>
      <c r="O168" s="484"/>
      <c r="P168" s="484"/>
      <c r="Q168" s="484"/>
      <c r="R168" s="484"/>
      <c r="S168" s="484"/>
      <c r="T168" s="484"/>
      <c r="U168" s="484"/>
      <c r="V168" s="484"/>
      <c r="W168" s="484"/>
      <c r="X168" s="484"/>
      <c r="Y168" s="484"/>
      <c r="Z168" s="484"/>
      <c r="AA168" s="484"/>
      <c r="AB168" s="484"/>
      <c r="AC168" s="484"/>
      <c r="AD168" s="484"/>
      <c r="AE168" s="484"/>
      <c r="AF168" s="484"/>
      <c r="AG168" s="484"/>
      <c r="AH168" s="484"/>
      <c r="AI168" s="484"/>
      <c r="AJ168" s="484"/>
    </row>
    <row r="169" spans="1:36" x14ac:dyDescent="0.35">
      <c r="A169" s="484"/>
      <c r="B169" s="484"/>
      <c r="C169" s="484"/>
      <c r="D169" s="1"/>
      <c r="E169" s="1"/>
      <c r="F169" s="744"/>
      <c r="G169" s="1"/>
      <c r="H169" s="1"/>
      <c r="I169" s="484"/>
      <c r="J169" s="484"/>
      <c r="K169" s="484"/>
      <c r="L169" s="484"/>
      <c r="M169" s="484"/>
      <c r="N169" s="1277"/>
      <c r="O169" s="484"/>
      <c r="P169" s="484"/>
      <c r="Q169" s="484"/>
      <c r="R169" s="484"/>
      <c r="S169" s="484"/>
      <c r="T169" s="484"/>
      <c r="U169" s="484"/>
      <c r="V169" s="484"/>
      <c r="W169" s="484"/>
      <c r="X169" s="484"/>
      <c r="Y169" s="484"/>
      <c r="Z169" s="484"/>
      <c r="AA169" s="484"/>
      <c r="AB169" s="484"/>
      <c r="AC169" s="484"/>
      <c r="AD169" s="484"/>
      <c r="AE169" s="484"/>
      <c r="AF169" s="484"/>
      <c r="AG169" s="484"/>
      <c r="AH169" s="484"/>
      <c r="AI169" s="484"/>
      <c r="AJ169" s="484"/>
    </row>
    <row r="170" spans="1:36" x14ac:dyDescent="0.35">
      <c r="A170" s="484"/>
      <c r="B170" s="484"/>
      <c r="C170" s="484"/>
      <c r="D170" s="1"/>
      <c r="E170" s="1"/>
      <c r="F170" s="744"/>
      <c r="G170" s="1"/>
      <c r="H170" s="1"/>
      <c r="I170" s="484"/>
      <c r="J170" s="484"/>
      <c r="K170" s="484"/>
      <c r="L170" s="484"/>
      <c r="M170" s="484"/>
      <c r="N170" s="1277"/>
      <c r="O170" s="484"/>
      <c r="P170" s="484"/>
      <c r="Q170" s="484"/>
      <c r="R170" s="484"/>
      <c r="S170" s="484"/>
      <c r="T170" s="484"/>
      <c r="U170" s="484"/>
      <c r="V170" s="484"/>
      <c r="W170" s="484"/>
      <c r="X170" s="484"/>
      <c r="Y170" s="484"/>
      <c r="Z170" s="484"/>
      <c r="AA170" s="484"/>
      <c r="AB170" s="484"/>
      <c r="AC170" s="484"/>
      <c r="AD170" s="484"/>
      <c r="AE170" s="484"/>
      <c r="AF170" s="484"/>
      <c r="AG170" s="484"/>
      <c r="AH170" s="484"/>
      <c r="AI170" s="484"/>
      <c r="AJ170" s="484"/>
    </row>
    <row r="171" spans="1:36" x14ac:dyDescent="0.35">
      <c r="A171" s="484"/>
      <c r="B171" s="484"/>
      <c r="C171" s="484"/>
      <c r="D171" s="1"/>
      <c r="E171" s="1"/>
      <c r="F171" s="744"/>
      <c r="G171" s="1"/>
      <c r="H171" s="1"/>
      <c r="I171" s="484"/>
      <c r="J171" s="484"/>
      <c r="K171" s="484"/>
      <c r="L171" s="484"/>
      <c r="M171" s="484"/>
      <c r="N171" s="1277"/>
      <c r="O171" s="484"/>
      <c r="P171" s="484"/>
      <c r="Q171" s="484"/>
      <c r="R171" s="484"/>
      <c r="S171" s="484"/>
      <c r="T171" s="484"/>
      <c r="U171" s="484"/>
      <c r="V171" s="484"/>
      <c r="W171" s="484"/>
      <c r="X171" s="484"/>
      <c r="Y171" s="484"/>
      <c r="Z171" s="484"/>
      <c r="AA171" s="484"/>
      <c r="AB171" s="484"/>
      <c r="AC171" s="484"/>
      <c r="AD171" s="484"/>
      <c r="AE171" s="484"/>
      <c r="AF171" s="484"/>
      <c r="AG171" s="484"/>
      <c r="AH171" s="484"/>
      <c r="AI171" s="484"/>
      <c r="AJ171" s="484"/>
    </row>
    <row r="172" spans="1:36" x14ac:dyDescent="0.35">
      <c r="A172" s="484"/>
      <c r="B172" s="484"/>
      <c r="C172" s="484"/>
      <c r="D172" s="1"/>
      <c r="E172" s="1"/>
      <c r="F172" s="744"/>
      <c r="G172" s="1"/>
      <c r="H172" s="1"/>
      <c r="I172" s="484"/>
      <c r="J172" s="484"/>
      <c r="K172" s="484"/>
      <c r="L172" s="484"/>
      <c r="M172" s="484"/>
      <c r="N172" s="1277"/>
      <c r="O172" s="484"/>
      <c r="P172" s="484"/>
      <c r="Q172" s="484"/>
      <c r="R172" s="484"/>
      <c r="S172" s="484"/>
      <c r="T172" s="484"/>
      <c r="U172" s="484"/>
      <c r="V172" s="484"/>
      <c r="W172" s="484"/>
      <c r="X172" s="484"/>
      <c r="Y172" s="484"/>
      <c r="Z172" s="484"/>
      <c r="AA172" s="484"/>
      <c r="AB172" s="484"/>
      <c r="AC172" s="484"/>
      <c r="AD172" s="484"/>
      <c r="AE172" s="484"/>
      <c r="AF172" s="484"/>
      <c r="AG172" s="484"/>
      <c r="AH172" s="484"/>
      <c r="AI172" s="484"/>
      <c r="AJ172" s="484"/>
    </row>
    <row r="173" spans="1:36" x14ac:dyDescent="0.35">
      <c r="A173" s="484"/>
      <c r="B173" s="484"/>
      <c r="C173" s="484"/>
      <c r="D173" s="1"/>
      <c r="E173" s="1"/>
      <c r="F173" s="744"/>
      <c r="G173" s="1"/>
      <c r="H173" s="1"/>
      <c r="I173" s="484"/>
      <c r="J173" s="484"/>
      <c r="K173" s="484"/>
      <c r="L173" s="484"/>
      <c r="M173" s="484"/>
      <c r="N173" s="1277"/>
      <c r="O173" s="484"/>
      <c r="P173" s="484"/>
      <c r="Q173" s="484"/>
      <c r="R173" s="484"/>
      <c r="S173" s="484"/>
      <c r="T173" s="484"/>
      <c r="U173" s="484"/>
      <c r="V173" s="484"/>
      <c r="W173" s="484"/>
      <c r="X173" s="484"/>
      <c r="Y173" s="484"/>
      <c r="Z173" s="484"/>
      <c r="AA173" s="484"/>
      <c r="AB173" s="484"/>
      <c r="AC173" s="484"/>
      <c r="AD173" s="484"/>
      <c r="AE173" s="484"/>
      <c r="AF173" s="484"/>
      <c r="AG173" s="484"/>
      <c r="AH173" s="484"/>
      <c r="AI173" s="484"/>
      <c r="AJ173" s="484"/>
    </row>
    <row r="174" spans="1:36" x14ac:dyDescent="0.35">
      <c r="A174" s="484"/>
      <c r="B174" s="484"/>
      <c r="C174" s="484"/>
      <c r="D174" s="1"/>
      <c r="E174" s="1"/>
      <c r="F174" s="744"/>
      <c r="G174" s="1"/>
      <c r="H174" s="1"/>
      <c r="I174" s="484"/>
      <c r="J174" s="484"/>
      <c r="K174" s="484"/>
      <c r="L174" s="484"/>
      <c r="M174" s="484"/>
      <c r="N174" s="1277"/>
      <c r="O174" s="484"/>
      <c r="P174" s="484"/>
      <c r="Q174" s="484"/>
      <c r="R174" s="484"/>
      <c r="S174" s="484"/>
      <c r="T174" s="484"/>
      <c r="U174" s="484"/>
      <c r="V174" s="484"/>
      <c r="W174" s="484"/>
      <c r="X174" s="484"/>
      <c r="Y174" s="484"/>
      <c r="Z174" s="484"/>
      <c r="AA174" s="484"/>
      <c r="AB174" s="484"/>
      <c r="AC174" s="484"/>
      <c r="AD174" s="484"/>
      <c r="AE174" s="484"/>
      <c r="AF174" s="484"/>
      <c r="AG174" s="484"/>
      <c r="AH174" s="484"/>
      <c r="AI174" s="484"/>
      <c r="AJ174" s="484"/>
    </row>
    <row r="175" spans="1:36" x14ac:dyDescent="0.35">
      <c r="A175" s="484"/>
      <c r="B175" s="484"/>
      <c r="C175" s="484"/>
      <c r="D175" s="1"/>
      <c r="E175" s="1"/>
      <c r="F175" s="744"/>
      <c r="G175" s="1"/>
      <c r="H175" s="1"/>
      <c r="I175" s="484"/>
      <c r="J175" s="484"/>
      <c r="K175" s="484"/>
      <c r="L175" s="484"/>
      <c r="M175" s="484"/>
      <c r="N175" s="1277"/>
      <c r="O175" s="484"/>
      <c r="P175" s="484"/>
      <c r="Q175" s="484"/>
      <c r="R175" s="484"/>
      <c r="S175" s="484"/>
      <c r="T175" s="484"/>
      <c r="U175" s="484"/>
      <c r="V175" s="484"/>
      <c r="W175" s="484"/>
      <c r="X175" s="484"/>
      <c r="Y175" s="484"/>
      <c r="Z175" s="484"/>
      <c r="AA175" s="484"/>
      <c r="AB175" s="484"/>
      <c r="AC175" s="484"/>
      <c r="AD175" s="484"/>
      <c r="AE175" s="484"/>
      <c r="AF175" s="484"/>
      <c r="AG175" s="484"/>
      <c r="AH175" s="484"/>
      <c r="AI175" s="484"/>
      <c r="AJ175" s="484"/>
    </row>
    <row r="176" spans="1:36" x14ac:dyDescent="0.35">
      <c r="A176" s="484"/>
      <c r="B176" s="484"/>
      <c r="C176" s="484"/>
      <c r="D176" s="1"/>
      <c r="E176" s="1"/>
      <c r="F176" s="744"/>
      <c r="G176" s="1"/>
      <c r="H176" s="1"/>
      <c r="I176" s="484"/>
      <c r="J176" s="484"/>
      <c r="K176" s="484"/>
      <c r="L176" s="484"/>
      <c r="M176" s="484"/>
      <c r="N176" s="1277"/>
      <c r="O176" s="484"/>
      <c r="P176" s="484"/>
      <c r="Q176" s="484"/>
      <c r="R176" s="484"/>
      <c r="S176" s="484"/>
      <c r="T176" s="484"/>
      <c r="U176" s="484"/>
      <c r="V176" s="484"/>
      <c r="W176" s="484"/>
      <c r="X176" s="484"/>
      <c r="Y176" s="484"/>
      <c r="Z176" s="484"/>
      <c r="AA176" s="484"/>
      <c r="AB176" s="484"/>
      <c r="AC176" s="484"/>
      <c r="AD176" s="484"/>
      <c r="AE176" s="484"/>
      <c r="AF176" s="484"/>
      <c r="AG176" s="484"/>
      <c r="AH176" s="484"/>
      <c r="AI176" s="484"/>
      <c r="AJ176" s="484"/>
    </row>
    <row r="177" spans="1:36" x14ac:dyDescent="0.35">
      <c r="A177" s="484"/>
      <c r="B177" s="484"/>
      <c r="C177" s="484"/>
      <c r="D177" s="1"/>
      <c r="E177" s="1"/>
      <c r="F177" s="744"/>
      <c r="G177" s="1"/>
      <c r="H177" s="1"/>
      <c r="I177" s="484"/>
      <c r="J177" s="484"/>
      <c r="K177" s="484"/>
      <c r="L177" s="484"/>
      <c r="M177" s="484"/>
      <c r="N177" s="1277"/>
      <c r="O177" s="484"/>
      <c r="P177" s="484"/>
      <c r="Q177" s="484"/>
      <c r="R177" s="484"/>
      <c r="S177" s="484"/>
      <c r="T177" s="484"/>
      <c r="U177" s="484"/>
      <c r="V177" s="484"/>
      <c r="W177" s="484"/>
      <c r="X177" s="484"/>
      <c r="Y177" s="484"/>
      <c r="Z177" s="484"/>
      <c r="AA177" s="484"/>
      <c r="AB177" s="484"/>
      <c r="AC177" s="484"/>
      <c r="AD177" s="484"/>
      <c r="AE177" s="484"/>
      <c r="AF177" s="484"/>
      <c r="AG177" s="484"/>
      <c r="AH177" s="484"/>
      <c r="AI177" s="484"/>
      <c r="AJ177" s="484"/>
    </row>
    <row r="178" spans="1:36" x14ac:dyDescent="0.35">
      <c r="A178" s="484"/>
      <c r="B178" s="484"/>
      <c r="C178" s="484"/>
      <c r="D178" s="1"/>
      <c r="E178" s="1"/>
      <c r="F178" s="744"/>
      <c r="G178" s="1"/>
      <c r="H178" s="1"/>
      <c r="I178" s="484"/>
      <c r="J178" s="484"/>
      <c r="K178" s="484"/>
      <c r="L178" s="484"/>
      <c r="M178" s="484"/>
      <c r="N178" s="1277"/>
      <c r="O178" s="484"/>
      <c r="P178" s="484"/>
      <c r="Q178" s="484"/>
      <c r="R178" s="484"/>
      <c r="S178" s="484"/>
      <c r="T178" s="484"/>
      <c r="U178" s="484"/>
      <c r="V178" s="484"/>
      <c r="W178" s="484"/>
      <c r="X178" s="484"/>
      <c r="Y178" s="484"/>
      <c r="Z178" s="484"/>
      <c r="AA178" s="484"/>
      <c r="AB178" s="484"/>
      <c r="AC178" s="484"/>
      <c r="AD178" s="484"/>
      <c r="AE178" s="484"/>
      <c r="AF178" s="484"/>
      <c r="AG178" s="484"/>
      <c r="AH178" s="484"/>
      <c r="AI178" s="484"/>
      <c r="AJ178" s="484"/>
    </row>
    <row r="179" spans="1:36" x14ac:dyDescent="0.35">
      <c r="A179" s="484"/>
      <c r="B179" s="484"/>
      <c r="C179" s="484"/>
      <c r="D179" s="1"/>
      <c r="E179" s="1"/>
      <c r="F179" s="744"/>
      <c r="G179" s="1"/>
      <c r="H179" s="1"/>
      <c r="I179" s="484"/>
      <c r="J179" s="484"/>
      <c r="K179" s="484"/>
      <c r="L179" s="484"/>
      <c r="M179" s="484"/>
      <c r="N179" s="1277"/>
      <c r="O179" s="484"/>
      <c r="P179" s="484"/>
      <c r="Q179" s="484"/>
      <c r="R179" s="484"/>
      <c r="S179" s="484"/>
      <c r="T179" s="484"/>
      <c r="U179" s="484"/>
      <c r="V179" s="484"/>
      <c r="W179" s="484"/>
      <c r="X179" s="484"/>
      <c r="Y179" s="484"/>
      <c r="Z179" s="484"/>
      <c r="AA179" s="484"/>
      <c r="AB179" s="484"/>
      <c r="AC179" s="484"/>
      <c r="AD179" s="484"/>
      <c r="AE179" s="484"/>
      <c r="AF179" s="484"/>
      <c r="AG179" s="484"/>
      <c r="AH179" s="484"/>
      <c r="AI179" s="484"/>
      <c r="AJ179" s="484"/>
    </row>
    <row r="180" spans="1:36" x14ac:dyDescent="0.35">
      <c r="A180" s="484"/>
      <c r="B180" s="484"/>
      <c r="C180" s="484"/>
      <c r="D180" s="1"/>
      <c r="E180" s="1"/>
      <c r="F180" s="744"/>
      <c r="G180" s="1"/>
      <c r="H180" s="1"/>
      <c r="I180" s="484"/>
      <c r="J180" s="484"/>
      <c r="K180" s="484"/>
      <c r="L180" s="484"/>
      <c r="M180" s="484"/>
      <c r="N180" s="1277"/>
      <c r="O180" s="484"/>
      <c r="P180" s="484"/>
      <c r="Q180" s="484"/>
      <c r="R180" s="484"/>
      <c r="S180" s="484"/>
      <c r="T180" s="484"/>
      <c r="U180" s="484"/>
      <c r="V180" s="484"/>
      <c r="W180" s="484"/>
      <c r="X180" s="484"/>
      <c r="Y180" s="484"/>
      <c r="Z180" s="484"/>
      <c r="AA180" s="484"/>
      <c r="AB180" s="484"/>
      <c r="AC180" s="484"/>
      <c r="AD180" s="484"/>
      <c r="AE180" s="484"/>
      <c r="AF180" s="484"/>
      <c r="AG180" s="484"/>
      <c r="AH180" s="484"/>
      <c r="AI180" s="484"/>
      <c r="AJ180" s="484"/>
    </row>
    <row r="181" spans="1:36" x14ac:dyDescent="0.35">
      <c r="A181" s="484"/>
      <c r="B181" s="484"/>
      <c r="C181" s="484"/>
      <c r="D181" s="1"/>
      <c r="E181" s="1"/>
      <c r="F181" s="744"/>
      <c r="G181" s="1"/>
      <c r="H181" s="1"/>
      <c r="I181" s="484"/>
      <c r="J181" s="484"/>
      <c r="K181" s="484"/>
      <c r="L181" s="484"/>
      <c r="M181" s="484"/>
      <c r="N181" s="1277"/>
      <c r="O181" s="484"/>
      <c r="P181" s="484"/>
      <c r="Q181" s="484"/>
      <c r="R181" s="484"/>
      <c r="S181" s="484"/>
      <c r="T181" s="484"/>
      <c r="U181" s="484"/>
      <c r="V181" s="484"/>
      <c r="W181" s="484"/>
      <c r="X181" s="484"/>
      <c r="Y181" s="484"/>
      <c r="Z181" s="484"/>
      <c r="AA181" s="484"/>
      <c r="AB181" s="484"/>
      <c r="AC181" s="484"/>
      <c r="AD181" s="484"/>
      <c r="AE181" s="484"/>
      <c r="AF181" s="484"/>
      <c r="AG181" s="484"/>
      <c r="AH181" s="484"/>
      <c r="AI181" s="484"/>
      <c r="AJ181" s="484"/>
    </row>
    <row r="182" spans="1:36" x14ac:dyDescent="0.35">
      <c r="A182" s="484"/>
      <c r="B182" s="484"/>
      <c r="C182" s="484"/>
      <c r="D182" s="1"/>
      <c r="E182" s="1"/>
      <c r="F182" s="744"/>
      <c r="G182" s="1"/>
      <c r="H182" s="1"/>
      <c r="I182" s="484"/>
      <c r="J182" s="484"/>
      <c r="K182" s="484"/>
      <c r="L182" s="484"/>
      <c r="M182" s="484"/>
      <c r="N182" s="1277"/>
      <c r="O182" s="484"/>
      <c r="P182" s="484"/>
      <c r="Q182" s="484"/>
      <c r="R182" s="484"/>
      <c r="S182" s="484"/>
      <c r="T182" s="484"/>
      <c r="U182" s="484"/>
      <c r="V182" s="484"/>
      <c r="W182" s="484"/>
      <c r="X182" s="484"/>
      <c r="Y182" s="484"/>
      <c r="Z182" s="484"/>
      <c r="AA182" s="484"/>
      <c r="AB182" s="484"/>
      <c r="AC182" s="484"/>
      <c r="AD182" s="484"/>
      <c r="AE182" s="484"/>
      <c r="AF182" s="484"/>
      <c r="AG182" s="484"/>
      <c r="AH182" s="484"/>
      <c r="AI182" s="484"/>
      <c r="AJ182" s="484"/>
    </row>
    <row r="183" spans="1:36" x14ac:dyDescent="0.35">
      <c r="A183" s="484"/>
      <c r="B183" s="484"/>
      <c r="C183" s="484"/>
      <c r="D183" s="1"/>
      <c r="E183" s="1"/>
      <c r="F183" s="744"/>
      <c r="G183" s="1"/>
      <c r="H183" s="1"/>
      <c r="I183" s="484"/>
      <c r="J183" s="484"/>
      <c r="K183" s="484"/>
      <c r="L183" s="484"/>
      <c r="M183" s="484"/>
      <c r="N183" s="1277"/>
      <c r="O183" s="484"/>
      <c r="P183" s="484"/>
      <c r="Q183" s="484"/>
      <c r="R183" s="484"/>
      <c r="S183" s="484"/>
      <c r="T183" s="484"/>
      <c r="U183" s="484"/>
      <c r="V183" s="484"/>
      <c r="W183" s="484"/>
      <c r="X183" s="484"/>
      <c r="Y183" s="484"/>
      <c r="Z183" s="484"/>
      <c r="AA183" s="484"/>
      <c r="AB183" s="484"/>
      <c r="AC183" s="484"/>
      <c r="AD183" s="484"/>
      <c r="AE183" s="484"/>
      <c r="AF183" s="484"/>
      <c r="AG183" s="484"/>
      <c r="AH183" s="484"/>
      <c r="AI183" s="484"/>
      <c r="AJ183" s="484"/>
    </row>
    <row r="184" spans="1:36" x14ac:dyDescent="0.35">
      <c r="A184" s="484"/>
      <c r="B184" s="484"/>
      <c r="C184" s="484"/>
      <c r="D184" s="1"/>
      <c r="E184" s="1"/>
      <c r="F184" s="744"/>
      <c r="G184" s="1"/>
      <c r="H184" s="1"/>
      <c r="I184" s="484"/>
      <c r="J184" s="484"/>
      <c r="K184" s="484"/>
      <c r="L184" s="484"/>
      <c r="M184" s="484"/>
      <c r="N184" s="1277"/>
      <c r="O184" s="484"/>
      <c r="P184" s="484"/>
      <c r="Q184" s="484"/>
      <c r="R184" s="484"/>
      <c r="S184" s="484"/>
      <c r="T184" s="484"/>
      <c r="U184" s="484"/>
      <c r="V184" s="484"/>
      <c r="W184" s="484"/>
      <c r="X184" s="484"/>
      <c r="Y184" s="484"/>
      <c r="Z184" s="484"/>
      <c r="AA184" s="484"/>
      <c r="AB184" s="484"/>
      <c r="AC184" s="484"/>
      <c r="AD184" s="484"/>
      <c r="AE184" s="484"/>
      <c r="AF184" s="484"/>
      <c r="AG184" s="484"/>
      <c r="AH184" s="484"/>
      <c r="AI184" s="484"/>
      <c r="AJ184" s="484"/>
    </row>
    <row r="185" spans="1:36" x14ac:dyDescent="0.35">
      <c r="A185" s="484"/>
      <c r="B185" s="484"/>
      <c r="C185" s="484"/>
      <c r="D185" s="1"/>
      <c r="E185" s="1"/>
      <c r="F185" s="744"/>
      <c r="G185" s="1"/>
      <c r="H185" s="1"/>
      <c r="I185" s="484"/>
      <c r="J185" s="484"/>
      <c r="K185" s="484"/>
      <c r="L185" s="484"/>
      <c r="M185" s="484"/>
      <c r="N185" s="1277"/>
      <c r="O185" s="484"/>
      <c r="P185" s="484"/>
      <c r="Q185" s="484"/>
      <c r="R185" s="484"/>
      <c r="S185" s="484"/>
      <c r="T185" s="484"/>
      <c r="U185" s="484"/>
      <c r="V185" s="484"/>
      <c r="W185" s="484"/>
      <c r="X185" s="484"/>
      <c r="Y185" s="484"/>
      <c r="Z185" s="484"/>
      <c r="AA185" s="484"/>
      <c r="AB185" s="484"/>
      <c r="AC185" s="484"/>
      <c r="AD185" s="484"/>
      <c r="AE185" s="484"/>
      <c r="AF185" s="484"/>
      <c r="AG185" s="484"/>
      <c r="AH185" s="484"/>
      <c r="AI185" s="484"/>
      <c r="AJ185" s="484"/>
    </row>
    <row r="186" spans="1:36" x14ac:dyDescent="0.35">
      <c r="A186" s="484"/>
      <c r="B186" s="484"/>
      <c r="C186" s="484"/>
      <c r="D186" s="1"/>
      <c r="E186" s="1"/>
      <c r="F186" s="744"/>
      <c r="G186" s="1"/>
      <c r="H186" s="1"/>
      <c r="I186" s="484"/>
      <c r="J186" s="484"/>
      <c r="K186" s="484"/>
      <c r="L186" s="484"/>
      <c r="M186" s="484"/>
      <c r="N186" s="1277"/>
      <c r="O186" s="484"/>
      <c r="P186" s="484"/>
      <c r="Q186" s="484"/>
      <c r="R186" s="484"/>
      <c r="S186" s="484"/>
      <c r="T186" s="484"/>
      <c r="U186" s="484"/>
      <c r="V186" s="484"/>
      <c r="W186" s="484"/>
      <c r="X186" s="484"/>
      <c r="Y186" s="484"/>
      <c r="Z186" s="484"/>
      <c r="AA186" s="484"/>
      <c r="AB186" s="484"/>
      <c r="AC186" s="484"/>
      <c r="AD186" s="484"/>
      <c r="AE186" s="484"/>
      <c r="AF186" s="484"/>
      <c r="AG186" s="484"/>
      <c r="AH186" s="484"/>
      <c r="AI186" s="484"/>
      <c r="AJ186" s="484"/>
    </row>
    <row r="187" spans="1:36" x14ac:dyDescent="0.35">
      <c r="A187" s="484"/>
      <c r="B187" s="484"/>
      <c r="C187" s="484"/>
      <c r="D187" s="1"/>
      <c r="E187" s="1"/>
      <c r="F187" s="744"/>
      <c r="G187" s="1"/>
      <c r="H187" s="1"/>
      <c r="I187" s="484"/>
      <c r="J187" s="484"/>
      <c r="K187" s="484"/>
      <c r="L187" s="484"/>
      <c r="M187" s="484"/>
      <c r="N187" s="1277"/>
      <c r="O187" s="484"/>
      <c r="P187" s="484"/>
      <c r="Q187" s="484"/>
      <c r="R187" s="484"/>
      <c r="S187" s="484"/>
      <c r="T187" s="484"/>
      <c r="U187" s="484"/>
      <c r="V187" s="484"/>
      <c r="W187" s="484"/>
      <c r="X187" s="484"/>
      <c r="Y187" s="484"/>
      <c r="Z187" s="484"/>
      <c r="AA187" s="484"/>
      <c r="AB187" s="484"/>
      <c r="AC187" s="484"/>
      <c r="AD187" s="484"/>
      <c r="AE187" s="484"/>
      <c r="AF187" s="484"/>
      <c r="AG187" s="484"/>
      <c r="AH187" s="484"/>
      <c r="AI187" s="484"/>
      <c r="AJ187" s="484"/>
    </row>
    <row r="188" spans="1:36" x14ac:dyDescent="0.35">
      <c r="A188" s="484"/>
      <c r="B188" s="484"/>
      <c r="C188" s="484"/>
      <c r="D188" s="1"/>
      <c r="E188" s="1"/>
      <c r="F188" s="744"/>
      <c r="G188" s="1"/>
      <c r="H188" s="1"/>
      <c r="I188" s="484"/>
      <c r="J188" s="484"/>
      <c r="K188" s="484"/>
      <c r="L188" s="484"/>
      <c r="M188" s="484"/>
      <c r="N188" s="1277"/>
      <c r="O188" s="484"/>
      <c r="P188" s="484"/>
      <c r="Q188" s="484"/>
      <c r="R188" s="484"/>
      <c r="S188" s="484"/>
      <c r="T188" s="484"/>
      <c r="U188" s="484"/>
      <c r="V188" s="484"/>
      <c r="W188" s="484"/>
      <c r="X188" s="484"/>
      <c r="Y188" s="484"/>
      <c r="Z188" s="484"/>
      <c r="AA188" s="484"/>
      <c r="AB188" s="484"/>
      <c r="AC188" s="484"/>
      <c r="AD188" s="484"/>
      <c r="AE188" s="484"/>
      <c r="AF188" s="484"/>
      <c r="AG188" s="484"/>
      <c r="AH188" s="484"/>
      <c r="AI188" s="484"/>
      <c r="AJ188" s="484"/>
    </row>
    <row r="189" spans="1:36" x14ac:dyDescent="0.35">
      <c r="A189" s="484"/>
      <c r="B189" s="484"/>
      <c r="C189" s="484"/>
      <c r="D189" s="1"/>
      <c r="E189" s="1"/>
      <c r="F189" s="744"/>
      <c r="G189" s="1"/>
      <c r="H189" s="1"/>
      <c r="I189" s="484"/>
      <c r="J189" s="484"/>
      <c r="K189" s="484"/>
      <c r="L189" s="484"/>
      <c r="M189" s="484"/>
      <c r="N189" s="1277"/>
      <c r="O189" s="484"/>
      <c r="P189" s="484"/>
      <c r="Q189" s="484"/>
      <c r="R189" s="484"/>
      <c r="S189" s="484"/>
      <c r="T189" s="484"/>
      <c r="U189" s="484"/>
      <c r="V189" s="484"/>
      <c r="W189" s="484"/>
      <c r="X189" s="484"/>
      <c r="Y189" s="484"/>
      <c r="Z189" s="484"/>
      <c r="AA189" s="484"/>
      <c r="AB189" s="484"/>
      <c r="AC189" s="484"/>
      <c r="AD189" s="484"/>
      <c r="AE189" s="484"/>
      <c r="AF189" s="484"/>
      <c r="AG189" s="484"/>
      <c r="AH189" s="484"/>
      <c r="AI189" s="484"/>
      <c r="AJ189" s="484"/>
    </row>
    <row r="190" spans="1:36" x14ac:dyDescent="0.35">
      <c r="A190" s="484"/>
      <c r="B190" s="484"/>
      <c r="C190" s="484"/>
      <c r="D190" s="1"/>
      <c r="E190" s="1"/>
      <c r="F190" s="744"/>
      <c r="G190" s="1"/>
      <c r="H190" s="1"/>
      <c r="I190" s="484"/>
      <c r="J190" s="484"/>
      <c r="K190" s="484"/>
      <c r="L190" s="484"/>
      <c r="M190" s="484"/>
      <c r="N190" s="1277"/>
      <c r="O190" s="484"/>
      <c r="P190" s="484"/>
      <c r="Q190" s="484"/>
      <c r="R190" s="484"/>
      <c r="S190" s="484"/>
      <c r="T190" s="484"/>
      <c r="U190" s="484"/>
      <c r="V190" s="484"/>
      <c r="W190" s="484"/>
      <c r="X190" s="484"/>
      <c r="Y190" s="484"/>
      <c r="Z190" s="484"/>
      <c r="AA190" s="484"/>
      <c r="AB190" s="484"/>
      <c r="AC190" s="484"/>
      <c r="AD190" s="484"/>
      <c r="AE190" s="484"/>
      <c r="AF190" s="484"/>
      <c r="AG190" s="484"/>
      <c r="AH190" s="484"/>
      <c r="AI190" s="484"/>
      <c r="AJ190" s="484"/>
    </row>
    <row r="191" spans="1:36" x14ac:dyDescent="0.35">
      <c r="A191" s="484"/>
      <c r="B191" s="484"/>
      <c r="C191" s="484"/>
      <c r="D191" s="1"/>
      <c r="E191" s="1"/>
      <c r="F191" s="744"/>
      <c r="G191" s="1"/>
      <c r="H191" s="1"/>
      <c r="I191" s="484"/>
      <c r="J191" s="484"/>
      <c r="K191" s="484"/>
      <c r="L191" s="484"/>
      <c r="M191" s="484"/>
      <c r="N191" s="1277"/>
      <c r="O191" s="484"/>
      <c r="P191" s="484"/>
      <c r="Q191" s="484"/>
      <c r="R191" s="484"/>
      <c r="S191" s="484"/>
      <c r="T191" s="484"/>
      <c r="U191" s="484"/>
      <c r="V191" s="484"/>
      <c r="W191" s="484"/>
      <c r="X191" s="484"/>
      <c r="Y191" s="484"/>
      <c r="Z191" s="484"/>
      <c r="AA191" s="484"/>
      <c r="AB191" s="484"/>
      <c r="AC191" s="484"/>
      <c r="AD191" s="484"/>
      <c r="AE191" s="484"/>
      <c r="AF191" s="484"/>
      <c r="AG191" s="484"/>
      <c r="AH191" s="484"/>
      <c r="AI191" s="484"/>
      <c r="AJ191" s="484"/>
    </row>
    <row r="192" spans="1:36" x14ac:dyDescent="0.35">
      <c r="A192" s="484"/>
      <c r="B192" s="484"/>
      <c r="C192" s="484"/>
      <c r="D192" s="1"/>
      <c r="E192" s="1"/>
      <c r="F192" s="744"/>
      <c r="G192" s="1"/>
      <c r="H192" s="1"/>
      <c r="I192" s="484"/>
      <c r="J192" s="484"/>
      <c r="K192" s="484"/>
      <c r="L192" s="484"/>
      <c r="M192" s="484"/>
      <c r="N192" s="1277"/>
      <c r="O192" s="484"/>
      <c r="P192" s="484"/>
      <c r="Q192" s="484"/>
      <c r="R192" s="484"/>
      <c r="S192" s="484"/>
      <c r="T192" s="484"/>
      <c r="U192" s="484"/>
      <c r="V192" s="484"/>
      <c r="W192" s="484"/>
      <c r="X192" s="484"/>
      <c r="Y192" s="484"/>
      <c r="Z192" s="484"/>
      <c r="AA192" s="484"/>
      <c r="AB192" s="484"/>
      <c r="AC192" s="484"/>
      <c r="AD192" s="484"/>
      <c r="AE192" s="484"/>
      <c r="AF192" s="484"/>
      <c r="AG192" s="484"/>
      <c r="AH192" s="484"/>
      <c r="AI192" s="484"/>
      <c r="AJ192" s="484"/>
    </row>
    <row r="193" spans="1:36" x14ac:dyDescent="0.35">
      <c r="A193" s="484"/>
      <c r="B193" s="484"/>
      <c r="C193" s="484"/>
      <c r="D193" s="1"/>
      <c r="E193" s="1"/>
      <c r="F193" s="744"/>
      <c r="G193" s="1"/>
      <c r="H193" s="1"/>
      <c r="I193" s="484"/>
      <c r="J193" s="484"/>
      <c r="K193" s="484"/>
      <c r="L193" s="484"/>
      <c r="M193" s="484"/>
      <c r="N193" s="1277"/>
      <c r="O193" s="484"/>
      <c r="P193" s="484"/>
      <c r="Q193" s="484"/>
      <c r="R193" s="484"/>
      <c r="S193" s="484"/>
      <c r="T193" s="484"/>
      <c r="U193" s="484"/>
      <c r="V193" s="484"/>
      <c r="W193" s="484"/>
      <c r="X193" s="484"/>
      <c r="Y193" s="484"/>
      <c r="Z193" s="484"/>
      <c r="AA193" s="484"/>
      <c r="AB193" s="484"/>
      <c r="AC193" s="484"/>
      <c r="AD193" s="484"/>
      <c r="AE193" s="484"/>
      <c r="AF193" s="484"/>
      <c r="AG193" s="484"/>
      <c r="AH193" s="484"/>
      <c r="AI193" s="484"/>
      <c r="AJ193" s="484"/>
    </row>
    <row r="194" spans="1:36" x14ac:dyDescent="0.35">
      <c r="A194" s="484"/>
      <c r="B194" s="484"/>
      <c r="C194" s="484"/>
      <c r="D194" s="1"/>
      <c r="E194" s="1"/>
      <c r="F194" s="744"/>
      <c r="G194" s="1"/>
      <c r="H194" s="1"/>
      <c r="I194" s="484"/>
      <c r="J194" s="484"/>
      <c r="K194" s="484"/>
      <c r="L194" s="484"/>
      <c r="M194" s="484"/>
      <c r="N194" s="1277"/>
      <c r="O194" s="484"/>
      <c r="P194" s="484"/>
      <c r="Q194" s="484"/>
      <c r="R194" s="484"/>
      <c r="S194" s="484"/>
      <c r="T194" s="484"/>
      <c r="U194" s="484"/>
      <c r="V194" s="484"/>
      <c r="W194" s="484"/>
      <c r="X194" s="484"/>
      <c r="Y194" s="484"/>
      <c r="Z194" s="484"/>
      <c r="AA194" s="484"/>
      <c r="AB194" s="484"/>
      <c r="AC194" s="484"/>
      <c r="AD194" s="484"/>
      <c r="AE194" s="484"/>
      <c r="AF194" s="484"/>
      <c r="AG194" s="484"/>
      <c r="AH194" s="484"/>
      <c r="AI194" s="484"/>
      <c r="AJ194" s="484"/>
    </row>
    <row r="195" spans="1:36" x14ac:dyDescent="0.35">
      <c r="A195" s="484"/>
      <c r="B195" s="484"/>
      <c r="C195" s="484"/>
      <c r="D195" s="1"/>
      <c r="E195" s="1"/>
      <c r="F195" s="744"/>
      <c r="G195" s="1"/>
      <c r="H195" s="1"/>
      <c r="I195" s="484"/>
      <c r="J195" s="484"/>
      <c r="K195" s="484"/>
      <c r="L195" s="484"/>
      <c r="M195" s="484"/>
      <c r="N195" s="1277"/>
      <c r="O195" s="484"/>
      <c r="P195" s="484"/>
      <c r="Q195" s="484"/>
      <c r="R195" s="484"/>
      <c r="S195" s="484"/>
      <c r="T195" s="484"/>
      <c r="U195" s="484"/>
      <c r="V195" s="484"/>
      <c r="W195" s="484"/>
      <c r="X195" s="484"/>
      <c r="Y195" s="484"/>
      <c r="Z195" s="484"/>
      <c r="AA195" s="484"/>
      <c r="AB195" s="484"/>
      <c r="AC195" s="484"/>
      <c r="AD195" s="484"/>
      <c r="AE195" s="484"/>
      <c r="AF195" s="484"/>
      <c r="AG195" s="484"/>
      <c r="AH195" s="484"/>
      <c r="AI195" s="484"/>
      <c r="AJ195" s="484"/>
    </row>
    <row r="196" spans="1:36" x14ac:dyDescent="0.35">
      <c r="A196" s="484"/>
      <c r="B196" s="484"/>
      <c r="C196" s="484"/>
      <c r="D196" s="1"/>
      <c r="E196" s="1"/>
      <c r="F196" s="744"/>
      <c r="G196" s="1"/>
      <c r="H196" s="1"/>
      <c r="I196" s="484"/>
      <c r="J196" s="484"/>
      <c r="K196" s="484"/>
      <c r="L196" s="484"/>
      <c r="M196" s="484"/>
      <c r="N196" s="1277"/>
      <c r="O196" s="484"/>
      <c r="P196" s="484"/>
      <c r="Q196" s="484"/>
      <c r="R196" s="484"/>
      <c r="S196" s="484"/>
      <c r="T196" s="484"/>
      <c r="U196" s="484"/>
      <c r="V196" s="484"/>
      <c r="W196" s="484"/>
      <c r="X196" s="484"/>
      <c r="Y196" s="484"/>
      <c r="Z196" s="484"/>
      <c r="AA196" s="484"/>
      <c r="AB196" s="484"/>
      <c r="AC196" s="484"/>
      <c r="AD196" s="484"/>
      <c r="AE196" s="484"/>
      <c r="AF196" s="484"/>
      <c r="AG196" s="484"/>
      <c r="AH196" s="484"/>
      <c r="AI196" s="484"/>
      <c r="AJ196" s="484"/>
    </row>
    <row r="197" spans="1:36" x14ac:dyDescent="0.35">
      <c r="A197" s="484"/>
      <c r="B197" s="484"/>
      <c r="C197" s="484"/>
      <c r="D197" s="1"/>
      <c r="E197" s="1"/>
      <c r="F197" s="744"/>
      <c r="G197" s="1"/>
      <c r="H197" s="1"/>
      <c r="I197" s="484"/>
      <c r="J197" s="484"/>
      <c r="K197" s="484"/>
      <c r="L197" s="484"/>
      <c r="M197" s="484"/>
      <c r="N197" s="1277"/>
      <c r="O197" s="484"/>
      <c r="P197" s="484"/>
      <c r="Q197" s="484"/>
      <c r="R197" s="484"/>
      <c r="S197" s="484"/>
      <c r="T197" s="484"/>
      <c r="U197" s="484"/>
      <c r="V197" s="484"/>
      <c r="W197" s="484"/>
      <c r="X197" s="484"/>
      <c r="Y197" s="484"/>
      <c r="Z197" s="484"/>
      <c r="AA197" s="484"/>
      <c r="AB197" s="484"/>
      <c r="AC197" s="484"/>
      <c r="AD197" s="484"/>
      <c r="AE197" s="484"/>
      <c r="AF197" s="484"/>
      <c r="AG197" s="484"/>
      <c r="AH197" s="484"/>
      <c r="AI197" s="484"/>
      <c r="AJ197" s="484"/>
    </row>
    <row r="198" spans="1:36" x14ac:dyDescent="0.35">
      <c r="A198" s="484"/>
      <c r="B198" s="484"/>
      <c r="C198" s="484"/>
      <c r="D198" s="1"/>
      <c r="E198" s="1"/>
      <c r="F198" s="744"/>
      <c r="G198" s="1"/>
      <c r="H198" s="1"/>
      <c r="I198" s="484"/>
      <c r="J198" s="484"/>
      <c r="K198" s="484"/>
      <c r="L198" s="484"/>
      <c r="M198" s="484"/>
      <c r="N198" s="1277"/>
      <c r="O198" s="484"/>
      <c r="P198" s="484"/>
      <c r="Q198" s="484"/>
      <c r="R198" s="484"/>
      <c r="S198" s="484"/>
      <c r="T198" s="484"/>
      <c r="U198" s="484"/>
      <c r="V198" s="484"/>
      <c r="W198" s="484"/>
      <c r="X198" s="484"/>
      <c r="Y198" s="484"/>
      <c r="Z198" s="484"/>
      <c r="AA198" s="484"/>
      <c r="AB198" s="484"/>
      <c r="AC198" s="484"/>
      <c r="AD198" s="484"/>
      <c r="AE198" s="484"/>
      <c r="AF198" s="484"/>
      <c r="AG198" s="484"/>
      <c r="AH198" s="484"/>
      <c r="AI198" s="484"/>
      <c r="AJ198" s="484"/>
    </row>
    <row r="199" spans="1:36" x14ac:dyDescent="0.35">
      <c r="A199" s="484"/>
      <c r="B199" s="484"/>
      <c r="C199" s="484"/>
      <c r="D199" s="1"/>
      <c r="E199" s="1"/>
      <c r="F199" s="744"/>
      <c r="G199" s="1"/>
      <c r="H199" s="1"/>
      <c r="I199" s="484"/>
      <c r="J199" s="484"/>
      <c r="K199" s="484"/>
      <c r="L199" s="484"/>
      <c r="M199" s="484"/>
      <c r="N199" s="1277"/>
      <c r="O199" s="484"/>
      <c r="P199" s="484"/>
      <c r="Q199" s="484"/>
      <c r="R199" s="484"/>
      <c r="S199" s="484"/>
      <c r="T199" s="484"/>
      <c r="U199" s="484"/>
      <c r="V199" s="484"/>
      <c r="W199" s="484"/>
      <c r="X199" s="484"/>
      <c r="Y199" s="484"/>
      <c r="Z199" s="484"/>
      <c r="AA199" s="484"/>
      <c r="AB199" s="484"/>
      <c r="AC199" s="484"/>
      <c r="AD199" s="484"/>
      <c r="AE199" s="484"/>
      <c r="AF199" s="484"/>
      <c r="AG199" s="484"/>
      <c r="AH199" s="484"/>
      <c r="AI199" s="484"/>
      <c r="AJ199" s="484"/>
    </row>
    <row r="200" spans="1:36" x14ac:dyDescent="0.35">
      <c r="A200" s="484"/>
      <c r="B200" s="484"/>
      <c r="C200" s="484"/>
      <c r="D200" s="1"/>
      <c r="E200" s="1"/>
      <c r="F200" s="744"/>
      <c r="G200" s="1"/>
      <c r="H200" s="1"/>
      <c r="I200" s="484"/>
      <c r="J200" s="484"/>
      <c r="K200" s="484"/>
      <c r="L200" s="484"/>
      <c r="M200" s="484"/>
      <c r="N200" s="1277"/>
      <c r="O200" s="484"/>
      <c r="P200" s="484"/>
      <c r="Q200" s="484"/>
      <c r="R200" s="484"/>
      <c r="S200" s="484"/>
      <c r="T200" s="484"/>
      <c r="U200" s="484"/>
      <c r="V200" s="484"/>
      <c r="W200" s="484"/>
      <c r="X200" s="484"/>
      <c r="Y200" s="484"/>
      <c r="Z200" s="484"/>
      <c r="AA200" s="484"/>
      <c r="AB200" s="484"/>
      <c r="AC200" s="484"/>
      <c r="AD200" s="484"/>
      <c r="AE200" s="484"/>
      <c r="AF200" s="484"/>
      <c r="AG200" s="484"/>
      <c r="AH200" s="484"/>
      <c r="AI200" s="484"/>
      <c r="AJ200" s="484"/>
    </row>
    <row r="201" spans="1:36" x14ac:dyDescent="0.35">
      <c r="A201" s="484"/>
      <c r="B201" s="484"/>
      <c r="C201" s="484"/>
      <c r="D201" s="1"/>
      <c r="E201" s="1"/>
      <c r="F201" s="744"/>
      <c r="G201" s="1"/>
      <c r="H201" s="1"/>
      <c r="I201" s="484"/>
      <c r="J201" s="484"/>
      <c r="K201" s="484"/>
      <c r="L201" s="484"/>
      <c r="M201" s="484"/>
      <c r="N201" s="1277"/>
      <c r="O201" s="484"/>
      <c r="P201" s="484"/>
      <c r="Q201" s="484"/>
      <c r="R201" s="484"/>
      <c r="S201" s="484"/>
      <c r="T201" s="484"/>
      <c r="U201" s="484"/>
      <c r="V201" s="484"/>
      <c r="W201" s="484"/>
      <c r="X201" s="484"/>
      <c r="Y201" s="484"/>
      <c r="Z201" s="484"/>
      <c r="AA201" s="484"/>
      <c r="AB201" s="484"/>
      <c r="AC201" s="484"/>
      <c r="AD201" s="484"/>
      <c r="AE201" s="484"/>
      <c r="AF201" s="484"/>
      <c r="AG201" s="484"/>
      <c r="AH201" s="484"/>
      <c r="AI201" s="484"/>
      <c r="AJ201" s="484"/>
    </row>
    <row r="202" spans="1:36" x14ac:dyDescent="0.35">
      <c r="A202" s="484"/>
      <c r="B202" s="484"/>
      <c r="C202" s="484"/>
      <c r="D202" s="1"/>
      <c r="E202" s="1"/>
      <c r="F202" s="744"/>
      <c r="G202" s="1"/>
      <c r="H202" s="1"/>
      <c r="I202" s="484"/>
      <c r="J202" s="484"/>
      <c r="K202" s="484"/>
      <c r="L202" s="484"/>
      <c r="M202" s="484"/>
      <c r="N202" s="1277"/>
      <c r="O202" s="484"/>
      <c r="P202" s="484"/>
      <c r="Q202" s="484"/>
      <c r="R202" s="484"/>
      <c r="S202" s="484"/>
      <c r="T202" s="484"/>
      <c r="U202" s="484"/>
      <c r="V202" s="484"/>
      <c r="W202" s="484"/>
      <c r="X202" s="484"/>
      <c r="Y202" s="484"/>
      <c r="Z202" s="484"/>
      <c r="AA202" s="484"/>
      <c r="AB202" s="484"/>
      <c r="AC202" s="484"/>
      <c r="AD202" s="484"/>
      <c r="AE202" s="484"/>
      <c r="AF202" s="484"/>
      <c r="AG202" s="484"/>
      <c r="AH202" s="484"/>
      <c r="AI202" s="484"/>
      <c r="AJ202" s="484"/>
    </row>
    <row r="203" spans="1:36" x14ac:dyDescent="0.35">
      <c r="A203" s="484"/>
      <c r="B203" s="484"/>
      <c r="C203" s="484"/>
      <c r="D203" s="1"/>
      <c r="E203" s="1"/>
      <c r="F203" s="744"/>
      <c r="G203" s="1"/>
      <c r="H203" s="1"/>
      <c r="I203" s="484"/>
      <c r="J203" s="484"/>
      <c r="K203" s="484"/>
      <c r="L203" s="484"/>
      <c r="M203" s="484"/>
      <c r="N203" s="1277"/>
      <c r="O203" s="484"/>
      <c r="P203" s="484"/>
      <c r="Q203" s="484"/>
      <c r="R203" s="484"/>
      <c r="S203" s="484"/>
      <c r="T203" s="484"/>
      <c r="U203" s="484"/>
      <c r="V203" s="484"/>
      <c r="W203" s="484"/>
      <c r="X203" s="484"/>
      <c r="Y203" s="484"/>
      <c r="Z203" s="484"/>
      <c r="AA203" s="484"/>
      <c r="AB203" s="484"/>
      <c r="AC203" s="484"/>
      <c r="AD203" s="484"/>
      <c r="AE203" s="484"/>
      <c r="AF203" s="484"/>
      <c r="AG203" s="484"/>
      <c r="AH203" s="484"/>
      <c r="AI203" s="484"/>
      <c r="AJ203" s="484"/>
    </row>
    <row r="204" spans="1:36" x14ac:dyDescent="0.35">
      <c r="A204" s="484"/>
      <c r="B204" s="484"/>
      <c r="C204" s="484"/>
      <c r="D204" s="1"/>
      <c r="E204" s="1"/>
      <c r="F204" s="744"/>
      <c r="G204" s="1"/>
      <c r="H204" s="1"/>
      <c r="I204" s="484"/>
      <c r="J204" s="484"/>
      <c r="K204" s="484"/>
      <c r="L204" s="484"/>
      <c r="M204" s="484"/>
      <c r="N204" s="1277"/>
      <c r="O204" s="484"/>
      <c r="P204" s="484"/>
      <c r="Q204" s="484"/>
      <c r="R204" s="484"/>
      <c r="S204" s="484"/>
      <c r="T204" s="484"/>
      <c r="U204" s="484"/>
      <c r="V204" s="484"/>
      <c r="W204" s="484"/>
      <c r="X204" s="484"/>
      <c r="Y204" s="484"/>
      <c r="Z204" s="484"/>
      <c r="AA204" s="484"/>
      <c r="AB204" s="484"/>
      <c r="AC204" s="484"/>
      <c r="AD204" s="484"/>
      <c r="AE204" s="484"/>
      <c r="AF204" s="484"/>
      <c r="AG204" s="484"/>
      <c r="AH204" s="484"/>
      <c r="AI204" s="484"/>
      <c r="AJ204" s="484"/>
    </row>
    <row r="205" spans="1:36" x14ac:dyDescent="0.35">
      <c r="A205" s="484"/>
      <c r="B205" s="484"/>
      <c r="C205" s="484"/>
      <c r="D205" s="1"/>
      <c r="E205" s="1"/>
      <c r="F205" s="744"/>
      <c r="G205" s="1"/>
      <c r="H205" s="1"/>
      <c r="I205" s="484"/>
      <c r="J205" s="484"/>
      <c r="K205" s="484"/>
      <c r="L205" s="484"/>
      <c r="M205" s="484"/>
      <c r="N205" s="1277"/>
      <c r="O205" s="484"/>
      <c r="P205" s="484"/>
      <c r="Q205" s="484"/>
      <c r="R205" s="484"/>
      <c r="S205" s="484"/>
      <c r="T205" s="484"/>
      <c r="U205" s="484"/>
      <c r="V205" s="484"/>
      <c r="W205" s="484"/>
      <c r="X205" s="484"/>
      <c r="Y205" s="484"/>
      <c r="Z205" s="484"/>
      <c r="AA205" s="484"/>
      <c r="AB205" s="484"/>
      <c r="AC205" s="484"/>
      <c r="AD205" s="484"/>
      <c r="AE205" s="484"/>
      <c r="AF205" s="484"/>
      <c r="AG205" s="484"/>
      <c r="AH205" s="484"/>
      <c r="AI205" s="484"/>
      <c r="AJ205" s="484"/>
    </row>
    <row r="206" spans="1:36" x14ac:dyDescent="0.35">
      <c r="A206" s="484"/>
      <c r="B206" s="484"/>
      <c r="C206" s="484"/>
      <c r="D206" s="1"/>
      <c r="E206" s="1"/>
      <c r="F206" s="744"/>
      <c r="G206" s="1"/>
      <c r="H206" s="1"/>
      <c r="I206" s="484"/>
      <c r="J206" s="484"/>
      <c r="K206" s="484"/>
      <c r="L206" s="484"/>
      <c r="M206" s="484"/>
      <c r="N206" s="1277"/>
      <c r="O206" s="484"/>
      <c r="P206" s="484"/>
      <c r="Q206" s="484"/>
      <c r="R206" s="484"/>
      <c r="S206" s="484"/>
      <c r="T206" s="484"/>
      <c r="U206" s="484"/>
      <c r="V206" s="484"/>
      <c r="W206" s="484"/>
      <c r="X206" s="484"/>
      <c r="Y206" s="484"/>
      <c r="Z206" s="484"/>
      <c r="AA206" s="484"/>
      <c r="AB206" s="484"/>
      <c r="AC206" s="484"/>
      <c r="AD206" s="484"/>
      <c r="AE206" s="484"/>
      <c r="AF206" s="484"/>
      <c r="AG206" s="484"/>
      <c r="AH206" s="484"/>
      <c r="AI206" s="484"/>
      <c r="AJ206" s="484"/>
    </row>
    <row r="207" spans="1:36" x14ac:dyDescent="0.35">
      <c r="A207" s="484"/>
      <c r="B207" s="484"/>
      <c r="C207" s="484"/>
      <c r="D207" s="1"/>
      <c r="E207" s="1"/>
      <c r="F207" s="744"/>
      <c r="G207" s="1"/>
      <c r="H207" s="1"/>
      <c r="I207" s="484"/>
      <c r="J207" s="484"/>
      <c r="K207" s="484"/>
      <c r="L207" s="484"/>
      <c r="M207" s="484"/>
      <c r="N207" s="1277"/>
      <c r="O207" s="484"/>
      <c r="P207" s="484"/>
      <c r="Q207" s="484"/>
      <c r="R207" s="484"/>
      <c r="S207" s="484"/>
      <c r="T207" s="484"/>
      <c r="U207" s="484"/>
      <c r="V207" s="484"/>
      <c r="W207" s="484"/>
      <c r="X207" s="484"/>
      <c r="Y207" s="484"/>
      <c r="Z207" s="484"/>
      <c r="AA207" s="484"/>
      <c r="AB207" s="484"/>
      <c r="AC207" s="484"/>
      <c r="AD207" s="484"/>
      <c r="AE207" s="484"/>
      <c r="AF207" s="484"/>
      <c r="AG207" s="484"/>
      <c r="AH207" s="484"/>
      <c r="AI207" s="484"/>
      <c r="AJ207" s="484"/>
    </row>
    <row r="208" spans="1:36" x14ac:dyDescent="0.35">
      <c r="A208" s="484"/>
      <c r="B208" s="484"/>
      <c r="C208" s="484"/>
      <c r="D208" s="1"/>
      <c r="E208" s="1"/>
      <c r="F208" s="744"/>
      <c r="G208" s="1"/>
      <c r="H208" s="1"/>
      <c r="I208" s="484"/>
      <c r="J208" s="484"/>
      <c r="K208" s="484"/>
      <c r="L208" s="484"/>
      <c r="M208" s="484"/>
      <c r="N208" s="1277"/>
      <c r="O208" s="484"/>
      <c r="P208" s="484"/>
      <c r="Q208" s="484"/>
      <c r="R208" s="484"/>
      <c r="S208" s="484"/>
      <c r="T208" s="484"/>
      <c r="U208" s="484"/>
      <c r="V208" s="484"/>
      <c r="W208" s="484"/>
      <c r="X208" s="484"/>
      <c r="Y208" s="484"/>
      <c r="Z208" s="484"/>
      <c r="AA208" s="484"/>
      <c r="AB208" s="484"/>
      <c r="AC208" s="484"/>
      <c r="AD208" s="484"/>
      <c r="AE208" s="484"/>
      <c r="AF208" s="484"/>
      <c r="AG208" s="484"/>
      <c r="AH208" s="484"/>
      <c r="AI208" s="484"/>
      <c r="AJ208" s="484"/>
    </row>
    <row r="209" spans="1:36" x14ac:dyDescent="0.35">
      <c r="A209" s="484"/>
      <c r="B209" s="484"/>
      <c r="C209" s="484"/>
      <c r="D209" s="1"/>
      <c r="E209" s="1"/>
      <c r="F209" s="744"/>
      <c r="G209" s="1"/>
      <c r="H209" s="1"/>
      <c r="I209" s="484"/>
      <c r="J209" s="484"/>
      <c r="K209" s="484"/>
      <c r="L209" s="484"/>
      <c r="M209" s="484"/>
      <c r="N209" s="1277"/>
      <c r="O209" s="484"/>
      <c r="P209" s="484"/>
      <c r="Q209" s="484"/>
      <c r="R209" s="484"/>
      <c r="S209" s="484"/>
      <c r="T209" s="484"/>
      <c r="U209" s="484"/>
      <c r="V209" s="484"/>
      <c r="W209" s="484"/>
      <c r="X209" s="484"/>
      <c r="Y209" s="484"/>
      <c r="Z209" s="484"/>
      <c r="AA209" s="484"/>
      <c r="AB209" s="484"/>
      <c r="AC209" s="484"/>
      <c r="AD209" s="484"/>
      <c r="AE209" s="484"/>
      <c r="AF209" s="484"/>
      <c r="AG209" s="484"/>
      <c r="AH209" s="484"/>
      <c r="AI209" s="484"/>
      <c r="AJ209" s="484"/>
    </row>
    <row r="210" spans="1:36" x14ac:dyDescent="0.35">
      <c r="A210" s="484"/>
      <c r="B210" s="484"/>
      <c r="C210" s="484"/>
      <c r="D210" s="1"/>
      <c r="E210" s="1"/>
      <c r="F210" s="744"/>
      <c r="G210" s="1"/>
      <c r="H210" s="1"/>
      <c r="I210" s="484"/>
      <c r="J210" s="484"/>
      <c r="K210" s="484"/>
      <c r="L210" s="484"/>
      <c r="M210" s="484"/>
      <c r="N210" s="1277"/>
      <c r="O210" s="484"/>
      <c r="P210" s="484"/>
      <c r="Q210" s="484"/>
      <c r="R210" s="484"/>
      <c r="S210" s="484"/>
      <c r="T210" s="484"/>
      <c r="U210" s="484"/>
      <c r="V210" s="484"/>
      <c r="W210" s="484"/>
      <c r="X210" s="484"/>
      <c r="Y210" s="484"/>
      <c r="Z210" s="484"/>
      <c r="AA210" s="484"/>
      <c r="AB210" s="484"/>
      <c r="AC210" s="484"/>
      <c r="AD210" s="484"/>
      <c r="AE210" s="484"/>
      <c r="AF210" s="484"/>
      <c r="AG210" s="484"/>
      <c r="AH210" s="484"/>
      <c r="AI210" s="484"/>
      <c r="AJ210" s="484"/>
    </row>
    <row r="211" spans="1:36" x14ac:dyDescent="0.35">
      <c r="A211" s="484"/>
      <c r="B211" s="484"/>
      <c r="C211" s="484"/>
      <c r="D211" s="1"/>
      <c r="E211" s="1"/>
      <c r="F211" s="744"/>
      <c r="G211" s="1"/>
      <c r="H211" s="1"/>
      <c r="I211" s="484"/>
      <c r="J211" s="484"/>
      <c r="K211" s="484"/>
      <c r="L211" s="484"/>
      <c r="M211" s="484"/>
      <c r="N211" s="1277"/>
      <c r="O211" s="484"/>
      <c r="P211" s="484"/>
      <c r="Q211" s="484"/>
      <c r="R211" s="484"/>
      <c r="S211" s="484"/>
      <c r="T211" s="484"/>
      <c r="U211" s="484"/>
      <c r="V211" s="484"/>
      <c r="W211" s="484"/>
      <c r="X211" s="484"/>
      <c r="Y211" s="484"/>
      <c r="Z211" s="484"/>
      <c r="AA211" s="484"/>
      <c r="AB211" s="484"/>
      <c r="AC211" s="484"/>
      <c r="AD211" s="484"/>
      <c r="AE211" s="484"/>
      <c r="AF211" s="484"/>
      <c r="AG211" s="484"/>
      <c r="AH211" s="484"/>
      <c r="AI211" s="484"/>
      <c r="AJ211" s="484"/>
    </row>
    <row r="212" spans="1:36" x14ac:dyDescent="0.35">
      <c r="A212" s="484"/>
      <c r="B212" s="484"/>
      <c r="C212" s="484"/>
      <c r="D212" s="1"/>
      <c r="E212" s="1"/>
      <c r="F212" s="744"/>
      <c r="G212" s="1"/>
      <c r="H212" s="1"/>
      <c r="I212" s="484"/>
      <c r="J212" s="484"/>
      <c r="K212" s="484"/>
      <c r="L212" s="484"/>
      <c r="M212" s="484"/>
      <c r="N212" s="1277"/>
      <c r="O212" s="484"/>
      <c r="P212" s="484"/>
      <c r="Q212" s="484"/>
      <c r="R212" s="484"/>
      <c r="S212" s="484"/>
      <c r="T212" s="484"/>
      <c r="U212" s="484"/>
      <c r="V212" s="484"/>
      <c r="W212" s="484"/>
      <c r="X212" s="484"/>
      <c r="Y212" s="484"/>
      <c r="Z212" s="484"/>
      <c r="AA212" s="484"/>
      <c r="AB212" s="484"/>
      <c r="AC212" s="484"/>
      <c r="AD212" s="484"/>
      <c r="AE212" s="484"/>
      <c r="AF212" s="484"/>
      <c r="AG212" s="484"/>
      <c r="AH212" s="484"/>
      <c r="AI212" s="484"/>
      <c r="AJ212" s="484"/>
    </row>
    <row r="213" spans="1:36" x14ac:dyDescent="0.35">
      <c r="A213" s="484"/>
      <c r="B213" s="484"/>
      <c r="C213" s="484"/>
      <c r="D213" s="1"/>
      <c r="E213" s="1"/>
      <c r="F213" s="744"/>
      <c r="G213" s="1"/>
      <c r="H213" s="1"/>
      <c r="I213" s="484"/>
      <c r="J213" s="484"/>
      <c r="K213" s="484"/>
      <c r="L213" s="484"/>
      <c r="M213" s="484"/>
      <c r="N213" s="1277"/>
      <c r="O213" s="484"/>
      <c r="P213" s="484"/>
      <c r="Q213" s="484"/>
      <c r="R213" s="484"/>
      <c r="S213" s="484"/>
      <c r="T213" s="484"/>
      <c r="U213" s="484"/>
      <c r="V213" s="484"/>
      <c r="W213" s="484"/>
      <c r="X213" s="484"/>
      <c r="Y213" s="484"/>
      <c r="Z213" s="484"/>
      <c r="AA213" s="484"/>
      <c r="AB213" s="484"/>
      <c r="AC213" s="484"/>
      <c r="AD213" s="484"/>
      <c r="AE213" s="484"/>
      <c r="AF213" s="484"/>
      <c r="AG213" s="484"/>
      <c r="AH213" s="484"/>
      <c r="AI213" s="484"/>
      <c r="AJ213" s="484"/>
    </row>
    <row r="214" spans="1:36" x14ac:dyDescent="0.35">
      <c r="A214" s="484"/>
      <c r="B214" s="484"/>
      <c r="C214" s="484"/>
      <c r="D214" s="1"/>
      <c r="E214" s="1"/>
      <c r="F214" s="744"/>
      <c r="G214" s="1"/>
      <c r="H214" s="1"/>
      <c r="I214" s="484"/>
      <c r="J214" s="484"/>
      <c r="K214" s="484"/>
      <c r="L214" s="484"/>
      <c r="M214" s="484"/>
      <c r="N214" s="1277"/>
      <c r="O214" s="484"/>
      <c r="P214" s="484"/>
      <c r="Q214" s="484"/>
      <c r="R214" s="484"/>
      <c r="S214" s="484"/>
      <c r="T214" s="484"/>
      <c r="U214" s="484"/>
      <c r="V214" s="484"/>
      <c r="W214" s="484"/>
      <c r="X214" s="484"/>
      <c r="Y214" s="484"/>
      <c r="Z214" s="484"/>
      <c r="AA214" s="484"/>
      <c r="AB214" s="484"/>
      <c r="AC214" s="484"/>
      <c r="AD214" s="484"/>
      <c r="AE214" s="484"/>
      <c r="AF214" s="484"/>
      <c r="AG214" s="484"/>
      <c r="AH214" s="484"/>
      <c r="AI214" s="484"/>
      <c r="AJ214" s="484"/>
    </row>
    <row r="215" spans="1:36" x14ac:dyDescent="0.35">
      <c r="A215" s="484"/>
      <c r="B215" s="484"/>
      <c r="C215" s="484"/>
      <c r="D215" s="1"/>
      <c r="E215" s="1"/>
      <c r="F215" s="744"/>
      <c r="G215" s="1"/>
      <c r="H215" s="1"/>
      <c r="I215" s="484"/>
      <c r="J215" s="484"/>
      <c r="K215" s="484"/>
      <c r="L215" s="484"/>
      <c r="M215" s="484"/>
      <c r="N215" s="1277"/>
      <c r="O215" s="484"/>
      <c r="P215" s="484"/>
      <c r="Q215" s="484"/>
      <c r="R215" s="484"/>
      <c r="S215" s="484"/>
      <c r="T215" s="484"/>
      <c r="U215" s="484"/>
      <c r="V215" s="484"/>
      <c r="W215" s="484"/>
      <c r="X215" s="484"/>
      <c r="Y215" s="484"/>
      <c r="Z215" s="484"/>
      <c r="AA215" s="484"/>
      <c r="AB215" s="484"/>
      <c r="AC215" s="484"/>
      <c r="AD215" s="484"/>
      <c r="AE215" s="484"/>
      <c r="AF215" s="484"/>
      <c r="AG215" s="484"/>
      <c r="AH215" s="484"/>
      <c r="AI215" s="484"/>
      <c r="AJ215" s="484"/>
    </row>
    <row r="216" spans="1:36" x14ac:dyDescent="0.35">
      <c r="A216" s="484"/>
      <c r="B216" s="484"/>
      <c r="C216" s="484"/>
      <c r="D216" s="1"/>
      <c r="E216" s="1"/>
      <c r="F216" s="744"/>
      <c r="G216" s="1"/>
      <c r="H216" s="1"/>
      <c r="I216" s="484"/>
      <c r="J216" s="484"/>
      <c r="K216" s="484"/>
      <c r="L216" s="484"/>
      <c r="M216" s="484"/>
      <c r="N216" s="1277"/>
      <c r="O216" s="484"/>
      <c r="P216" s="484"/>
      <c r="Q216" s="484"/>
      <c r="R216" s="484"/>
      <c r="S216" s="484"/>
      <c r="T216" s="484"/>
      <c r="U216" s="484"/>
      <c r="V216" s="484"/>
      <c r="W216" s="484"/>
      <c r="X216" s="484"/>
      <c r="Y216" s="484"/>
      <c r="Z216" s="484"/>
      <c r="AA216" s="484"/>
      <c r="AB216" s="484"/>
      <c r="AC216" s="484"/>
      <c r="AD216" s="484"/>
      <c r="AE216" s="484"/>
      <c r="AF216" s="484"/>
      <c r="AG216" s="484"/>
      <c r="AH216" s="484"/>
      <c r="AI216" s="484"/>
      <c r="AJ216" s="484"/>
    </row>
    <row r="217" spans="1:36" x14ac:dyDescent="0.35">
      <c r="A217" s="484"/>
      <c r="B217" s="484"/>
      <c r="C217" s="484"/>
      <c r="D217" s="1"/>
      <c r="E217" s="1"/>
      <c r="F217" s="744"/>
      <c r="G217" s="1"/>
      <c r="H217" s="1"/>
      <c r="I217" s="484"/>
      <c r="J217" s="484"/>
      <c r="K217" s="484"/>
      <c r="L217" s="484"/>
      <c r="M217" s="484"/>
      <c r="N217" s="1277"/>
      <c r="O217" s="484"/>
      <c r="P217" s="484"/>
      <c r="Q217" s="484"/>
      <c r="R217" s="484"/>
      <c r="S217" s="484"/>
      <c r="T217" s="484"/>
      <c r="U217" s="484"/>
      <c r="V217" s="484"/>
      <c r="W217" s="484"/>
      <c r="X217" s="484"/>
      <c r="Y217" s="484"/>
      <c r="Z217" s="484"/>
      <c r="AA217" s="484"/>
      <c r="AB217" s="484"/>
      <c r="AC217" s="484"/>
      <c r="AD217" s="484"/>
      <c r="AE217" s="484"/>
      <c r="AF217" s="484"/>
      <c r="AG217" s="484"/>
      <c r="AH217" s="484"/>
      <c r="AI217" s="484"/>
      <c r="AJ217" s="484"/>
    </row>
    <row r="218" spans="1:36" x14ac:dyDescent="0.35">
      <c r="A218" s="484"/>
      <c r="B218" s="484"/>
      <c r="C218" s="484"/>
      <c r="D218" s="1"/>
      <c r="E218" s="1"/>
      <c r="F218" s="744"/>
      <c r="G218" s="1"/>
      <c r="H218" s="1"/>
      <c r="I218" s="484"/>
      <c r="J218" s="484"/>
      <c r="K218" s="484"/>
      <c r="L218" s="484"/>
      <c r="M218" s="484"/>
      <c r="N218" s="1277"/>
      <c r="O218" s="484"/>
      <c r="P218" s="484"/>
      <c r="Q218" s="484"/>
      <c r="R218" s="484"/>
      <c r="S218" s="484"/>
      <c r="T218" s="484"/>
      <c r="U218" s="484"/>
      <c r="V218" s="484"/>
      <c r="W218" s="484"/>
      <c r="X218" s="484"/>
      <c r="Y218" s="484"/>
      <c r="Z218" s="484"/>
      <c r="AA218" s="484"/>
      <c r="AB218" s="484"/>
      <c r="AC218" s="484"/>
      <c r="AD218" s="484"/>
      <c r="AE218" s="484"/>
      <c r="AF218" s="484"/>
      <c r="AG218" s="484"/>
      <c r="AH218" s="484"/>
      <c r="AI218" s="484"/>
      <c r="AJ218" s="484"/>
    </row>
    <row r="219" spans="1:36" x14ac:dyDescent="0.35">
      <c r="A219" s="484"/>
      <c r="B219" s="484"/>
      <c r="C219" s="484"/>
      <c r="D219" s="1"/>
      <c r="E219" s="1"/>
      <c r="F219" s="744"/>
      <c r="G219" s="1"/>
      <c r="H219" s="1"/>
      <c r="I219" s="484"/>
      <c r="J219" s="484"/>
      <c r="K219" s="484"/>
      <c r="L219" s="484"/>
      <c r="M219" s="484"/>
      <c r="N219" s="1277"/>
      <c r="O219" s="484"/>
      <c r="P219" s="484"/>
      <c r="Q219" s="484"/>
      <c r="R219" s="484"/>
      <c r="S219" s="484"/>
      <c r="T219" s="484"/>
      <c r="U219" s="484"/>
      <c r="V219" s="484"/>
      <c r="W219" s="484"/>
      <c r="X219" s="484"/>
      <c r="Y219" s="484"/>
      <c r="Z219" s="484"/>
      <c r="AA219" s="484"/>
      <c r="AB219" s="484"/>
      <c r="AC219" s="484"/>
      <c r="AD219" s="484"/>
      <c r="AE219" s="484"/>
      <c r="AF219" s="484"/>
      <c r="AG219" s="484"/>
      <c r="AH219" s="484"/>
      <c r="AI219" s="484"/>
      <c r="AJ219" s="484"/>
    </row>
    <row r="220" spans="1:36" x14ac:dyDescent="0.35">
      <c r="A220" s="484"/>
      <c r="B220" s="484"/>
      <c r="C220" s="484"/>
      <c r="D220" s="1"/>
      <c r="E220" s="1"/>
      <c r="F220" s="744"/>
      <c r="G220" s="1"/>
      <c r="H220" s="1"/>
      <c r="I220" s="484"/>
      <c r="J220" s="484"/>
      <c r="K220" s="484"/>
      <c r="L220" s="484"/>
      <c r="M220" s="484"/>
      <c r="N220" s="1277"/>
      <c r="O220" s="484"/>
      <c r="P220" s="484"/>
      <c r="Q220" s="484"/>
      <c r="R220" s="484"/>
      <c r="S220" s="484"/>
      <c r="T220" s="484"/>
      <c r="U220" s="484"/>
      <c r="V220" s="484"/>
      <c r="W220" s="484"/>
      <c r="X220" s="484"/>
      <c r="Y220" s="484"/>
      <c r="Z220" s="484"/>
      <c r="AA220" s="484"/>
      <c r="AB220" s="484"/>
      <c r="AC220" s="484"/>
      <c r="AD220" s="484"/>
      <c r="AE220" s="484"/>
      <c r="AF220" s="484"/>
      <c r="AG220" s="484"/>
      <c r="AH220" s="484"/>
      <c r="AI220" s="484"/>
      <c r="AJ220" s="484"/>
    </row>
    <row r="221" spans="1:36" x14ac:dyDescent="0.35">
      <c r="A221" s="484"/>
      <c r="B221" s="484"/>
      <c r="C221" s="484"/>
      <c r="D221" s="1"/>
      <c r="E221" s="1"/>
      <c r="F221" s="744"/>
      <c r="G221" s="1"/>
      <c r="H221" s="1"/>
      <c r="I221" s="484"/>
      <c r="J221" s="484"/>
      <c r="K221" s="484"/>
      <c r="L221" s="484"/>
      <c r="M221" s="484"/>
      <c r="N221" s="1277"/>
      <c r="O221" s="484"/>
      <c r="P221" s="484"/>
      <c r="Q221" s="484"/>
      <c r="R221" s="484"/>
      <c r="S221" s="484"/>
      <c r="T221" s="484"/>
      <c r="U221" s="484"/>
      <c r="V221" s="484"/>
      <c r="W221" s="484"/>
      <c r="X221" s="484"/>
      <c r="Y221" s="484"/>
      <c r="Z221" s="484"/>
      <c r="AA221" s="484"/>
      <c r="AB221" s="484"/>
      <c r="AC221" s="484"/>
      <c r="AD221" s="484"/>
      <c r="AE221" s="484"/>
      <c r="AF221" s="484"/>
      <c r="AG221" s="484"/>
      <c r="AH221" s="484"/>
      <c r="AI221" s="484"/>
      <c r="AJ221" s="484"/>
    </row>
    <row r="222" spans="1:36" x14ac:dyDescent="0.35">
      <c r="A222" s="484"/>
      <c r="B222" s="484"/>
      <c r="C222" s="484"/>
      <c r="D222" s="1"/>
      <c r="E222" s="1"/>
      <c r="F222" s="744"/>
      <c r="G222" s="1"/>
      <c r="H222" s="1"/>
      <c r="I222" s="484"/>
      <c r="J222" s="484"/>
      <c r="K222" s="484"/>
      <c r="L222" s="484"/>
      <c r="M222" s="484"/>
      <c r="N222" s="1277"/>
      <c r="O222" s="484"/>
      <c r="P222" s="484"/>
      <c r="Q222" s="484"/>
      <c r="R222" s="484"/>
      <c r="S222" s="484"/>
      <c r="T222" s="484"/>
      <c r="U222" s="484"/>
      <c r="V222" s="484"/>
      <c r="W222" s="484"/>
      <c r="X222" s="484"/>
      <c r="Y222" s="484"/>
      <c r="Z222" s="484"/>
      <c r="AA222" s="484"/>
      <c r="AB222" s="484"/>
      <c r="AC222" s="484"/>
      <c r="AD222" s="484"/>
      <c r="AE222" s="484"/>
      <c r="AF222" s="484"/>
      <c r="AG222" s="484"/>
      <c r="AH222" s="484"/>
      <c r="AI222" s="484"/>
      <c r="AJ222" s="484"/>
    </row>
    <row r="223" spans="1:36" x14ac:dyDescent="0.35">
      <c r="A223" s="484"/>
      <c r="B223" s="484"/>
      <c r="C223" s="484"/>
      <c r="D223" s="1"/>
      <c r="E223" s="1"/>
      <c r="F223" s="744"/>
      <c r="G223" s="1"/>
      <c r="H223" s="1"/>
      <c r="I223" s="484"/>
      <c r="J223" s="484"/>
      <c r="K223" s="484"/>
      <c r="L223" s="484"/>
      <c r="M223" s="484"/>
      <c r="N223" s="1277"/>
      <c r="O223" s="484"/>
      <c r="P223" s="484"/>
      <c r="Q223" s="484"/>
      <c r="R223" s="484"/>
      <c r="S223" s="484"/>
      <c r="T223" s="484"/>
      <c r="U223" s="484"/>
      <c r="V223" s="484"/>
      <c r="W223" s="484"/>
      <c r="X223" s="484"/>
      <c r="Y223" s="484"/>
      <c r="Z223" s="484"/>
      <c r="AA223" s="484"/>
      <c r="AB223" s="484"/>
      <c r="AC223" s="484"/>
      <c r="AD223" s="484"/>
      <c r="AE223" s="484"/>
      <c r="AF223" s="484"/>
      <c r="AG223" s="484"/>
      <c r="AH223" s="484"/>
      <c r="AI223" s="484"/>
      <c r="AJ223" s="484"/>
    </row>
    <row r="224" spans="1:36" x14ac:dyDescent="0.35">
      <c r="A224" s="484"/>
      <c r="B224" s="484"/>
      <c r="C224" s="484"/>
      <c r="D224" s="1"/>
      <c r="E224" s="1"/>
      <c r="F224" s="744"/>
      <c r="G224" s="1"/>
      <c r="H224" s="1"/>
      <c r="I224" s="484"/>
      <c r="J224" s="484"/>
      <c r="K224" s="484"/>
      <c r="L224" s="484"/>
      <c r="M224" s="484"/>
      <c r="N224" s="1277"/>
      <c r="O224" s="484"/>
      <c r="P224" s="484"/>
      <c r="Q224" s="484"/>
      <c r="R224" s="484"/>
      <c r="S224" s="484"/>
      <c r="T224" s="484"/>
      <c r="U224" s="484"/>
      <c r="V224" s="484"/>
      <c r="W224" s="484"/>
      <c r="X224" s="484"/>
      <c r="Y224" s="484"/>
      <c r="Z224" s="484"/>
      <c r="AA224" s="484"/>
      <c r="AB224" s="484"/>
      <c r="AC224" s="484"/>
      <c r="AD224" s="484"/>
      <c r="AE224" s="484"/>
      <c r="AF224" s="484"/>
      <c r="AG224" s="484"/>
      <c r="AH224" s="484"/>
      <c r="AI224" s="484"/>
      <c r="AJ224" s="484"/>
    </row>
    <row r="225" spans="1:36" x14ac:dyDescent="0.35">
      <c r="A225" s="484"/>
      <c r="B225" s="484"/>
      <c r="C225" s="484"/>
      <c r="D225" s="1"/>
      <c r="E225" s="1"/>
      <c r="F225" s="744"/>
      <c r="G225" s="1"/>
      <c r="H225" s="1"/>
      <c r="I225" s="484"/>
      <c r="J225" s="484"/>
      <c r="K225" s="484"/>
      <c r="L225" s="484"/>
      <c r="M225" s="484"/>
      <c r="N225" s="1277"/>
      <c r="O225" s="484"/>
      <c r="P225" s="484"/>
      <c r="Q225" s="484"/>
      <c r="R225" s="484"/>
      <c r="S225" s="484"/>
      <c r="T225" s="484"/>
      <c r="U225" s="484"/>
      <c r="V225" s="484"/>
      <c r="W225" s="484"/>
      <c r="X225" s="484"/>
      <c r="Y225" s="484"/>
      <c r="Z225" s="484"/>
      <c r="AA225" s="484"/>
      <c r="AB225" s="484"/>
      <c r="AC225" s="484"/>
      <c r="AD225" s="484"/>
      <c r="AE225" s="484"/>
      <c r="AF225" s="484"/>
      <c r="AG225" s="484"/>
      <c r="AH225" s="484"/>
      <c r="AI225" s="484"/>
      <c r="AJ225" s="484"/>
    </row>
    <row r="226" spans="1:36" x14ac:dyDescent="0.35">
      <c r="A226" s="484"/>
      <c r="B226" s="484"/>
      <c r="C226" s="484"/>
      <c r="D226" s="1"/>
      <c r="E226" s="1"/>
      <c r="F226" s="744"/>
      <c r="G226" s="1"/>
      <c r="H226" s="1"/>
      <c r="I226" s="484"/>
      <c r="J226" s="484"/>
      <c r="K226" s="484"/>
      <c r="L226" s="484"/>
      <c r="M226" s="484"/>
      <c r="N226" s="1277"/>
      <c r="O226" s="484"/>
      <c r="P226" s="484"/>
      <c r="Q226" s="484"/>
      <c r="R226" s="484"/>
      <c r="S226" s="484"/>
      <c r="T226" s="484"/>
      <c r="U226" s="484"/>
      <c r="V226" s="484"/>
      <c r="W226" s="484"/>
      <c r="X226" s="484"/>
      <c r="Y226" s="484"/>
      <c r="Z226" s="484"/>
      <c r="AA226" s="484"/>
      <c r="AB226" s="484"/>
      <c r="AC226" s="484"/>
      <c r="AD226" s="484"/>
      <c r="AE226" s="484"/>
      <c r="AF226" s="484"/>
      <c r="AG226" s="484"/>
      <c r="AH226" s="484"/>
      <c r="AI226" s="484"/>
      <c r="AJ226" s="484"/>
    </row>
    <row r="227" spans="1:36" x14ac:dyDescent="0.35">
      <c r="A227" s="484"/>
      <c r="B227" s="484"/>
      <c r="C227" s="484"/>
      <c r="D227" s="1"/>
      <c r="E227" s="1"/>
      <c r="F227" s="744"/>
      <c r="G227" s="1"/>
      <c r="H227" s="1"/>
      <c r="I227" s="484"/>
      <c r="J227" s="484"/>
      <c r="K227" s="484"/>
      <c r="L227" s="484"/>
      <c r="M227" s="484"/>
      <c r="N227" s="1277"/>
      <c r="O227" s="484"/>
      <c r="P227" s="484"/>
      <c r="Q227" s="484"/>
      <c r="R227" s="484"/>
      <c r="S227" s="484"/>
      <c r="T227" s="484"/>
      <c r="U227" s="484"/>
      <c r="V227" s="484"/>
      <c r="W227" s="484"/>
      <c r="X227" s="484"/>
      <c r="Y227" s="484"/>
      <c r="Z227" s="484"/>
      <c r="AA227" s="484"/>
      <c r="AB227" s="484"/>
      <c r="AC227" s="484"/>
      <c r="AD227" s="484"/>
      <c r="AE227" s="484"/>
      <c r="AF227" s="484"/>
      <c r="AG227" s="484"/>
      <c r="AH227" s="484"/>
      <c r="AI227" s="484"/>
      <c r="AJ227" s="484"/>
    </row>
    <row r="228" spans="1:36" x14ac:dyDescent="0.35">
      <c r="A228" s="484"/>
      <c r="B228" s="484"/>
      <c r="C228" s="484"/>
      <c r="D228" s="1"/>
      <c r="E228" s="1"/>
      <c r="F228" s="744"/>
      <c r="G228" s="1"/>
      <c r="H228" s="1"/>
      <c r="I228" s="484"/>
      <c r="J228" s="484"/>
      <c r="K228" s="484"/>
      <c r="L228" s="484"/>
      <c r="M228" s="484"/>
      <c r="N228" s="1277"/>
      <c r="O228" s="484"/>
      <c r="P228" s="484"/>
      <c r="Q228" s="484"/>
      <c r="R228" s="484"/>
      <c r="S228" s="484"/>
      <c r="T228" s="484"/>
      <c r="U228" s="484"/>
      <c r="V228" s="484"/>
      <c r="W228" s="484"/>
      <c r="X228" s="484"/>
      <c r="Y228" s="484"/>
      <c r="Z228" s="484"/>
      <c r="AA228" s="484"/>
      <c r="AB228" s="484"/>
      <c r="AC228" s="484"/>
      <c r="AD228" s="484"/>
      <c r="AE228" s="484"/>
      <c r="AF228" s="484"/>
      <c r="AG228" s="484"/>
      <c r="AH228" s="484"/>
      <c r="AI228" s="484"/>
      <c r="AJ228" s="484"/>
    </row>
    <row r="229" spans="1:36" x14ac:dyDescent="0.35">
      <c r="A229" s="484"/>
      <c r="B229" s="484"/>
      <c r="C229" s="484"/>
      <c r="D229" s="1"/>
      <c r="E229" s="1"/>
      <c r="F229" s="744"/>
      <c r="G229" s="1"/>
      <c r="H229" s="1"/>
      <c r="I229" s="484"/>
      <c r="J229" s="484"/>
      <c r="K229" s="484"/>
      <c r="L229" s="484"/>
      <c r="M229" s="484"/>
      <c r="N229" s="1277"/>
      <c r="O229" s="484"/>
      <c r="P229" s="484"/>
      <c r="Q229" s="484"/>
      <c r="R229" s="484"/>
      <c r="S229" s="484"/>
      <c r="T229" s="484"/>
      <c r="U229" s="484"/>
      <c r="V229" s="484"/>
      <c r="W229" s="484"/>
      <c r="X229" s="484"/>
      <c r="Y229" s="484"/>
      <c r="Z229" s="484"/>
      <c r="AA229" s="484"/>
      <c r="AB229" s="484"/>
      <c r="AC229" s="484"/>
      <c r="AD229" s="484"/>
      <c r="AE229" s="484"/>
      <c r="AF229" s="484"/>
      <c r="AG229" s="484"/>
      <c r="AH229" s="484"/>
      <c r="AI229" s="484"/>
      <c r="AJ229" s="484"/>
    </row>
    <row r="230" spans="1:36" x14ac:dyDescent="0.35">
      <c r="A230" s="484"/>
      <c r="B230" s="484"/>
      <c r="C230" s="484"/>
      <c r="D230" s="1"/>
      <c r="E230" s="1"/>
      <c r="F230" s="744"/>
      <c r="G230" s="1"/>
      <c r="H230" s="1"/>
      <c r="I230" s="484"/>
      <c r="J230" s="484"/>
      <c r="K230" s="484"/>
      <c r="L230" s="484"/>
      <c r="M230" s="484"/>
      <c r="N230" s="1277"/>
      <c r="O230" s="484"/>
      <c r="P230" s="484"/>
      <c r="Q230" s="484"/>
      <c r="R230" s="484"/>
      <c r="S230" s="484"/>
      <c r="T230" s="484"/>
      <c r="U230" s="484"/>
      <c r="V230" s="484"/>
      <c r="W230" s="484"/>
      <c r="X230" s="484"/>
      <c r="Y230" s="484"/>
      <c r="Z230" s="484"/>
      <c r="AA230" s="484"/>
      <c r="AB230" s="484"/>
      <c r="AC230" s="484"/>
      <c r="AD230" s="484"/>
      <c r="AE230" s="484"/>
      <c r="AF230" s="484"/>
      <c r="AG230" s="484"/>
      <c r="AH230" s="484"/>
      <c r="AI230" s="484"/>
      <c r="AJ230" s="484"/>
    </row>
    <row r="231" spans="1:36" x14ac:dyDescent="0.35">
      <c r="A231" s="484"/>
      <c r="B231" s="484"/>
      <c r="C231" s="484"/>
      <c r="D231" s="1"/>
      <c r="E231" s="1"/>
      <c r="F231" s="744"/>
      <c r="G231" s="1"/>
      <c r="H231" s="1"/>
      <c r="I231" s="484"/>
      <c r="J231" s="484"/>
      <c r="K231" s="484"/>
      <c r="L231" s="484"/>
      <c r="M231" s="484"/>
      <c r="N231" s="1277"/>
      <c r="O231" s="484"/>
      <c r="P231" s="484"/>
      <c r="Q231" s="484"/>
      <c r="R231" s="484"/>
      <c r="S231" s="484"/>
      <c r="T231" s="484"/>
      <c r="U231" s="484"/>
      <c r="V231" s="484"/>
      <c r="W231" s="484"/>
      <c r="X231" s="484"/>
      <c r="Y231" s="484"/>
      <c r="Z231" s="484"/>
      <c r="AA231" s="484"/>
      <c r="AB231" s="484"/>
      <c r="AC231" s="484"/>
      <c r="AD231" s="484"/>
      <c r="AE231" s="484"/>
      <c r="AF231" s="484"/>
      <c r="AG231" s="484"/>
      <c r="AH231" s="484"/>
      <c r="AI231" s="484"/>
      <c r="AJ231" s="484"/>
    </row>
    <row r="232" spans="1:36" x14ac:dyDescent="0.35">
      <c r="A232" s="484"/>
      <c r="B232" s="484"/>
      <c r="C232" s="484"/>
      <c r="D232" s="1"/>
      <c r="E232" s="1"/>
      <c r="F232" s="744"/>
      <c r="G232" s="1"/>
      <c r="H232" s="1"/>
      <c r="I232" s="484"/>
      <c r="J232" s="484"/>
      <c r="K232" s="484"/>
      <c r="L232" s="484"/>
      <c r="M232" s="484"/>
      <c r="N232" s="1277"/>
      <c r="O232" s="484"/>
      <c r="P232" s="484"/>
      <c r="Q232" s="484"/>
      <c r="R232" s="484"/>
      <c r="S232" s="484"/>
      <c r="T232" s="484"/>
      <c r="U232" s="484"/>
      <c r="V232" s="484"/>
      <c r="W232" s="484"/>
      <c r="X232" s="484"/>
      <c r="Y232" s="484"/>
      <c r="Z232" s="484"/>
      <c r="AA232" s="484"/>
      <c r="AB232" s="484"/>
      <c r="AC232" s="484"/>
      <c r="AD232" s="484"/>
      <c r="AE232" s="484"/>
      <c r="AF232" s="484"/>
      <c r="AG232" s="484"/>
      <c r="AH232" s="484"/>
      <c r="AI232" s="484"/>
      <c r="AJ232" s="484"/>
    </row>
    <row r="233" spans="1:36" x14ac:dyDescent="0.35">
      <c r="A233" s="484"/>
      <c r="B233" s="484"/>
      <c r="C233" s="484"/>
      <c r="D233" s="1"/>
      <c r="E233" s="1"/>
      <c r="F233" s="744"/>
      <c r="G233" s="1"/>
      <c r="H233" s="1"/>
      <c r="I233" s="484"/>
      <c r="J233" s="484"/>
      <c r="K233" s="484"/>
      <c r="L233" s="484"/>
      <c r="M233" s="484"/>
      <c r="N233" s="1277"/>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row>
    <row r="234" spans="1:36" x14ac:dyDescent="0.35">
      <c r="A234" s="484"/>
      <c r="B234" s="484"/>
      <c r="C234" s="484"/>
      <c r="D234" s="1"/>
      <c r="E234" s="1"/>
      <c r="F234" s="744"/>
      <c r="G234" s="1"/>
      <c r="H234" s="1"/>
      <c r="I234" s="484"/>
      <c r="J234" s="484"/>
      <c r="K234" s="484"/>
      <c r="L234" s="484"/>
      <c r="M234" s="484"/>
      <c r="N234" s="1277"/>
      <c r="O234" s="484"/>
      <c r="P234" s="484"/>
      <c r="Q234" s="484"/>
      <c r="R234" s="484"/>
      <c r="S234" s="484"/>
      <c r="T234" s="484"/>
      <c r="U234" s="484"/>
      <c r="V234" s="484"/>
      <c r="W234" s="484"/>
      <c r="X234" s="484"/>
      <c r="Y234" s="484"/>
      <c r="Z234" s="484"/>
      <c r="AA234" s="484"/>
      <c r="AB234" s="484"/>
      <c r="AC234" s="484"/>
      <c r="AD234" s="484"/>
      <c r="AE234" s="484"/>
      <c r="AF234" s="484"/>
      <c r="AG234" s="484"/>
      <c r="AH234" s="484"/>
      <c r="AI234" s="484"/>
      <c r="AJ234" s="484"/>
    </row>
    <row r="235" spans="1:36" x14ac:dyDescent="0.35">
      <c r="A235" s="484"/>
      <c r="B235" s="484"/>
      <c r="C235" s="484"/>
      <c r="D235" s="1"/>
      <c r="E235" s="1"/>
      <c r="F235" s="744"/>
      <c r="G235" s="1"/>
      <c r="H235" s="1"/>
      <c r="I235" s="484"/>
      <c r="J235" s="484"/>
      <c r="K235" s="484"/>
      <c r="L235" s="484"/>
      <c r="M235" s="484"/>
      <c r="N235" s="1277"/>
      <c r="O235" s="484"/>
      <c r="P235" s="484"/>
      <c r="Q235" s="484"/>
      <c r="R235" s="484"/>
      <c r="S235" s="484"/>
      <c r="T235" s="484"/>
      <c r="U235" s="484"/>
      <c r="V235" s="484"/>
      <c r="W235" s="484"/>
      <c r="X235" s="484"/>
      <c r="Y235" s="484"/>
      <c r="Z235" s="484"/>
      <c r="AA235" s="484"/>
      <c r="AB235" s="484"/>
      <c r="AC235" s="484"/>
      <c r="AD235" s="484"/>
      <c r="AE235" s="484"/>
      <c r="AF235" s="484"/>
      <c r="AG235" s="484"/>
      <c r="AH235" s="484"/>
      <c r="AI235" s="484"/>
      <c r="AJ235" s="484"/>
    </row>
    <row r="236" spans="1:36" x14ac:dyDescent="0.35">
      <c r="A236" s="484"/>
      <c r="B236" s="484"/>
      <c r="C236" s="484"/>
      <c r="D236" s="1"/>
      <c r="E236" s="1"/>
      <c r="F236" s="744"/>
      <c r="G236" s="1"/>
      <c r="H236" s="1"/>
      <c r="I236" s="484"/>
      <c r="J236" s="484"/>
      <c r="K236" s="484"/>
      <c r="L236" s="484"/>
      <c r="M236" s="484"/>
      <c r="N236" s="1277"/>
      <c r="O236" s="484"/>
      <c r="P236" s="484"/>
      <c r="Q236" s="484"/>
      <c r="R236" s="484"/>
      <c r="S236" s="484"/>
      <c r="T236" s="484"/>
      <c r="U236" s="484"/>
      <c r="V236" s="484"/>
      <c r="W236" s="484"/>
      <c r="X236" s="484"/>
      <c r="Y236" s="484"/>
      <c r="Z236" s="484"/>
      <c r="AA236" s="484"/>
      <c r="AB236" s="484"/>
      <c r="AC236" s="484"/>
      <c r="AD236" s="484"/>
      <c r="AE236" s="484"/>
      <c r="AF236" s="484"/>
      <c r="AG236" s="484"/>
      <c r="AH236" s="484"/>
      <c r="AI236" s="484"/>
      <c r="AJ236" s="484"/>
    </row>
    <row r="237" spans="1:36" x14ac:dyDescent="0.35">
      <c r="A237" s="484"/>
      <c r="B237" s="484"/>
      <c r="C237" s="484"/>
      <c r="D237" s="1"/>
      <c r="E237" s="1"/>
      <c r="F237" s="744"/>
      <c r="G237" s="1"/>
      <c r="H237" s="1"/>
      <c r="I237" s="484"/>
      <c r="J237" s="484"/>
      <c r="K237" s="484"/>
      <c r="L237" s="484"/>
      <c r="M237" s="484"/>
      <c r="N237" s="1277"/>
      <c r="O237" s="484"/>
      <c r="P237" s="484"/>
      <c r="Q237" s="484"/>
      <c r="R237" s="484"/>
      <c r="S237" s="484"/>
      <c r="T237" s="484"/>
      <c r="U237" s="484"/>
      <c r="V237" s="484"/>
      <c r="W237" s="484"/>
      <c r="X237" s="484"/>
      <c r="Y237" s="484"/>
      <c r="Z237" s="484"/>
      <c r="AA237" s="484"/>
      <c r="AB237" s="484"/>
      <c r="AC237" s="484"/>
      <c r="AD237" s="484"/>
      <c r="AE237" s="484"/>
      <c r="AF237" s="484"/>
      <c r="AG237" s="484"/>
      <c r="AH237" s="484"/>
      <c r="AI237" s="484"/>
      <c r="AJ237" s="484"/>
    </row>
    <row r="238" spans="1:36" x14ac:dyDescent="0.35">
      <c r="A238" s="484"/>
      <c r="B238" s="484"/>
      <c r="C238" s="484"/>
      <c r="D238" s="1"/>
      <c r="E238" s="1"/>
      <c r="F238" s="744"/>
      <c r="G238" s="1"/>
      <c r="H238" s="1"/>
      <c r="I238" s="484"/>
      <c r="J238" s="484"/>
      <c r="K238" s="484"/>
      <c r="L238" s="484"/>
      <c r="M238" s="484"/>
      <c r="N238" s="1277"/>
      <c r="O238" s="484"/>
      <c r="P238" s="484"/>
      <c r="Q238" s="484"/>
      <c r="R238" s="484"/>
      <c r="S238" s="484"/>
      <c r="T238" s="484"/>
      <c r="U238" s="484"/>
      <c r="V238" s="484"/>
      <c r="W238" s="484"/>
      <c r="X238" s="484"/>
      <c r="Y238" s="484"/>
      <c r="Z238" s="484"/>
      <c r="AA238" s="484"/>
      <c r="AB238" s="484"/>
      <c r="AC238" s="484"/>
      <c r="AD238" s="484"/>
      <c r="AE238" s="484"/>
      <c r="AF238" s="484"/>
      <c r="AG238" s="484"/>
      <c r="AH238" s="484"/>
      <c r="AI238" s="484"/>
      <c r="AJ238" s="484"/>
    </row>
    <row r="239" spans="1:36" x14ac:dyDescent="0.35">
      <c r="A239" s="484"/>
      <c r="B239" s="484"/>
      <c r="C239" s="484"/>
      <c r="D239" s="1"/>
      <c r="E239" s="1"/>
      <c r="F239" s="744"/>
      <c r="G239" s="1"/>
      <c r="H239" s="1"/>
      <c r="I239" s="484"/>
      <c r="J239" s="484"/>
      <c r="K239" s="484"/>
      <c r="L239" s="484"/>
      <c r="M239" s="484"/>
      <c r="N239" s="1277"/>
      <c r="O239" s="484"/>
      <c r="P239" s="484"/>
      <c r="Q239" s="484"/>
      <c r="R239" s="484"/>
      <c r="S239" s="484"/>
      <c r="T239" s="484"/>
      <c r="U239" s="484"/>
      <c r="V239" s="484"/>
      <c r="W239" s="484"/>
      <c r="X239" s="484"/>
      <c r="Y239" s="484"/>
      <c r="Z239" s="484"/>
      <c r="AA239" s="484"/>
      <c r="AB239" s="484"/>
      <c r="AC239" s="484"/>
      <c r="AD239" s="484"/>
      <c r="AE239" s="484"/>
      <c r="AF239" s="484"/>
      <c r="AG239" s="484"/>
      <c r="AH239" s="484"/>
      <c r="AI239" s="484"/>
      <c r="AJ239" s="484"/>
    </row>
    <row r="240" spans="1:36" x14ac:dyDescent="0.35">
      <c r="A240" s="484"/>
      <c r="B240" s="484"/>
      <c r="C240" s="484"/>
      <c r="D240" s="1"/>
      <c r="E240" s="1"/>
      <c r="F240" s="744"/>
      <c r="G240" s="1"/>
      <c r="H240" s="1"/>
      <c r="I240" s="484"/>
      <c r="J240" s="484"/>
      <c r="K240" s="484"/>
      <c r="L240" s="484"/>
      <c r="M240" s="484"/>
      <c r="N240" s="1277"/>
      <c r="O240" s="484"/>
      <c r="P240" s="484"/>
      <c r="Q240" s="484"/>
      <c r="R240" s="484"/>
      <c r="S240" s="484"/>
      <c r="T240" s="484"/>
      <c r="U240" s="484"/>
      <c r="V240" s="484"/>
      <c r="W240" s="484"/>
      <c r="X240" s="484"/>
      <c r="Y240" s="484"/>
      <c r="Z240" s="484"/>
      <c r="AA240" s="484"/>
      <c r="AB240" s="484"/>
      <c r="AC240" s="484"/>
      <c r="AD240" s="484"/>
      <c r="AE240" s="484"/>
      <c r="AF240" s="484"/>
      <c r="AG240" s="484"/>
      <c r="AH240" s="484"/>
      <c r="AI240" s="484"/>
      <c r="AJ240" s="484"/>
    </row>
    <row r="241" spans="1:36" x14ac:dyDescent="0.35">
      <c r="A241" s="484"/>
      <c r="B241" s="484"/>
      <c r="C241" s="484"/>
      <c r="D241" s="1"/>
      <c r="E241" s="1"/>
      <c r="F241" s="744"/>
      <c r="G241" s="1"/>
      <c r="H241" s="1"/>
      <c r="I241" s="484"/>
      <c r="J241" s="484"/>
      <c r="K241" s="484"/>
      <c r="L241" s="484"/>
      <c r="M241" s="484"/>
      <c r="N241" s="1277"/>
      <c r="O241" s="484"/>
      <c r="P241" s="484"/>
      <c r="Q241" s="484"/>
      <c r="R241" s="484"/>
      <c r="S241" s="484"/>
      <c r="T241" s="484"/>
      <c r="U241" s="484"/>
      <c r="V241" s="484"/>
      <c r="W241" s="484"/>
      <c r="X241" s="484"/>
      <c r="Y241" s="484"/>
      <c r="Z241" s="484"/>
      <c r="AA241" s="484"/>
      <c r="AB241" s="484"/>
      <c r="AC241" s="484"/>
      <c r="AD241" s="484"/>
      <c r="AE241" s="484"/>
      <c r="AF241" s="484"/>
      <c r="AG241" s="484"/>
      <c r="AH241" s="484"/>
      <c r="AI241" s="484"/>
      <c r="AJ241" s="484"/>
    </row>
    <row r="242" spans="1:36" x14ac:dyDescent="0.35">
      <c r="A242" s="484"/>
      <c r="B242" s="484"/>
      <c r="C242" s="484"/>
      <c r="D242" s="1"/>
      <c r="E242" s="1"/>
      <c r="F242" s="744"/>
      <c r="G242" s="1"/>
      <c r="H242" s="1"/>
      <c r="I242" s="484"/>
      <c r="J242" s="484"/>
      <c r="K242" s="484"/>
      <c r="L242" s="484"/>
      <c r="M242" s="484"/>
      <c r="N242" s="1277"/>
      <c r="O242" s="484"/>
      <c r="P242" s="484"/>
      <c r="Q242" s="484"/>
      <c r="R242" s="484"/>
      <c r="S242" s="484"/>
      <c r="T242" s="484"/>
      <c r="U242" s="484"/>
      <c r="V242" s="484"/>
      <c r="W242" s="484"/>
      <c r="X242" s="484"/>
      <c r="Y242" s="484"/>
      <c r="Z242" s="484"/>
      <c r="AA242" s="484"/>
      <c r="AB242" s="484"/>
      <c r="AC242" s="484"/>
      <c r="AD242" s="484"/>
      <c r="AE242" s="484"/>
      <c r="AF242" s="484"/>
      <c r="AG242" s="484"/>
      <c r="AH242" s="484"/>
      <c r="AI242" s="484"/>
      <c r="AJ242" s="484"/>
    </row>
    <row r="243" spans="1:36" x14ac:dyDescent="0.35">
      <c r="A243" s="484"/>
      <c r="B243" s="484"/>
      <c r="C243" s="484"/>
      <c r="D243" s="1"/>
      <c r="E243" s="1"/>
      <c r="F243" s="744"/>
      <c r="G243" s="1"/>
      <c r="H243" s="1"/>
      <c r="I243" s="484"/>
      <c r="J243" s="484"/>
      <c r="K243" s="484"/>
      <c r="L243" s="484"/>
      <c r="M243" s="484"/>
      <c r="N243" s="1277"/>
      <c r="O243" s="484"/>
      <c r="P243" s="484"/>
      <c r="Q243" s="484"/>
      <c r="R243" s="484"/>
      <c r="S243" s="484"/>
      <c r="T243" s="484"/>
      <c r="U243" s="484"/>
      <c r="V243" s="484"/>
      <c r="W243" s="484"/>
      <c r="X243" s="484"/>
      <c r="Y243" s="484"/>
      <c r="Z243" s="484"/>
      <c r="AA243" s="484"/>
      <c r="AB243" s="484"/>
      <c r="AC243" s="484"/>
      <c r="AD243" s="484"/>
      <c r="AE243" s="484"/>
      <c r="AF243" s="484"/>
      <c r="AG243" s="484"/>
      <c r="AH243" s="484"/>
      <c r="AI243" s="484"/>
      <c r="AJ243" s="484"/>
    </row>
    <row r="244" spans="1:36" x14ac:dyDescent="0.35">
      <c r="A244" s="484"/>
      <c r="B244" s="484"/>
      <c r="C244" s="484"/>
      <c r="D244" s="1"/>
      <c r="E244" s="1"/>
      <c r="F244" s="744"/>
      <c r="G244" s="1"/>
      <c r="H244" s="1"/>
      <c r="I244" s="484"/>
      <c r="J244" s="484"/>
      <c r="K244" s="484"/>
      <c r="L244" s="484"/>
      <c r="M244" s="484"/>
      <c r="N244" s="1277"/>
      <c r="O244" s="484"/>
      <c r="P244" s="484"/>
      <c r="Q244" s="484"/>
      <c r="R244" s="484"/>
      <c r="S244" s="484"/>
      <c r="T244" s="484"/>
      <c r="U244" s="484"/>
      <c r="V244" s="484"/>
      <c r="W244" s="484"/>
      <c r="X244" s="484"/>
      <c r="Y244" s="484"/>
      <c r="Z244" s="484"/>
      <c r="AA244" s="484"/>
      <c r="AB244" s="484"/>
      <c r="AC244" s="484"/>
      <c r="AD244" s="484"/>
      <c r="AE244" s="484"/>
      <c r="AF244" s="484"/>
      <c r="AG244" s="484"/>
      <c r="AH244" s="484"/>
      <c r="AI244" s="484"/>
      <c r="AJ244" s="484"/>
    </row>
    <row r="245" spans="1:36" x14ac:dyDescent="0.35">
      <c r="A245" s="484"/>
      <c r="B245" s="484"/>
      <c r="C245" s="484"/>
      <c r="D245" s="1"/>
      <c r="E245" s="1"/>
      <c r="F245" s="744"/>
      <c r="G245" s="1"/>
      <c r="H245" s="1"/>
      <c r="I245" s="484"/>
      <c r="J245" s="484"/>
      <c r="K245" s="484"/>
      <c r="L245" s="484"/>
      <c r="M245" s="484"/>
      <c r="N245" s="1277"/>
      <c r="O245" s="484"/>
      <c r="P245" s="484"/>
      <c r="Q245" s="484"/>
      <c r="R245" s="484"/>
      <c r="S245" s="484"/>
      <c r="T245" s="484"/>
      <c r="U245" s="484"/>
      <c r="V245" s="484"/>
      <c r="W245" s="484"/>
      <c r="X245" s="484"/>
      <c r="Y245" s="484"/>
      <c r="Z245" s="484"/>
      <c r="AA245" s="484"/>
      <c r="AB245" s="484"/>
      <c r="AC245" s="484"/>
      <c r="AD245" s="484"/>
      <c r="AE245" s="484"/>
      <c r="AF245" s="484"/>
      <c r="AG245" s="484"/>
      <c r="AH245" s="484"/>
      <c r="AI245" s="484"/>
      <c r="AJ245" s="484"/>
    </row>
    <row r="246" spans="1:36" x14ac:dyDescent="0.35">
      <c r="A246" s="484"/>
      <c r="B246" s="484"/>
      <c r="C246" s="484"/>
      <c r="D246" s="1"/>
      <c r="E246" s="1"/>
      <c r="F246" s="744"/>
      <c r="G246" s="1"/>
      <c r="H246" s="1"/>
      <c r="I246" s="484"/>
      <c r="J246" s="484"/>
      <c r="K246" s="484"/>
      <c r="L246" s="484"/>
      <c r="M246" s="484"/>
      <c r="N246" s="1277"/>
      <c r="O246" s="484"/>
      <c r="P246" s="484"/>
      <c r="Q246" s="484"/>
      <c r="R246" s="484"/>
      <c r="S246" s="484"/>
      <c r="T246" s="484"/>
      <c r="U246" s="484"/>
      <c r="V246" s="484"/>
      <c r="W246" s="484"/>
      <c r="X246" s="484"/>
      <c r="Y246" s="484"/>
      <c r="Z246" s="484"/>
      <c r="AA246" s="484"/>
      <c r="AB246" s="484"/>
      <c r="AC246" s="484"/>
      <c r="AD246" s="484"/>
      <c r="AE246" s="484"/>
      <c r="AF246" s="484"/>
      <c r="AG246" s="484"/>
      <c r="AH246" s="484"/>
      <c r="AI246" s="484"/>
      <c r="AJ246" s="484"/>
    </row>
    <row r="247" spans="1:36" x14ac:dyDescent="0.35">
      <c r="A247" s="484"/>
      <c r="B247" s="484"/>
      <c r="C247" s="484"/>
      <c r="D247" s="1"/>
      <c r="E247" s="1"/>
      <c r="F247" s="744"/>
      <c r="G247" s="1"/>
      <c r="H247" s="1"/>
      <c r="I247" s="484"/>
      <c r="J247" s="484"/>
      <c r="K247" s="484"/>
      <c r="L247" s="484"/>
      <c r="M247" s="484"/>
      <c r="N247" s="1277"/>
      <c r="O247" s="484"/>
      <c r="P247" s="484"/>
      <c r="Q247" s="484"/>
      <c r="R247" s="484"/>
      <c r="S247" s="484"/>
      <c r="T247" s="484"/>
      <c r="U247" s="484"/>
      <c r="V247" s="484"/>
      <c r="W247" s="484"/>
      <c r="X247" s="484"/>
      <c r="Y247" s="484"/>
      <c r="Z247" s="484"/>
      <c r="AA247" s="484"/>
      <c r="AB247" s="484"/>
      <c r="AC247" s="484"/>
      <c r="AD247" s="484"/>
      <c r="AE247" s="484"/>
      <c r="AF247" s="484"/>
      <c r="AG247" s="484"/>
      <c r="AH247" s="484"/>
      <c r="AI247" s="484"/>
      <c r="AJ247" s="484"/>
    </row>
    <row r="248" spans="1:36" x14ac:dyDescent="0.35">
      <c r="A248" s="484"/>
      <c r="B248" s="484"/>
      <c r="C248" s="484"/>
      <c r="D248" s="1"/>
      <c r="E248" s="1"/>
      <c r="F248" s="744"/>
      <c r="G248" s="1"/>
      <c r="H248" s="1"/>
      <c r="I248" s="484"/>
      <c r="J248" s="484"/>
      <c r="K248" s="484"/>
      <c r="L248" s="484"/>
      <c r="M248" s="484"/>
      <c r="N248" s="1277"/>
      <c r="O248" s="484"/>
      <c r="P248" s="484"/>
      <c r="Q248" s="484"/>
      <c r="R248" s="484"/>
      <c r="S248" s="484"/>
      <c r="T248" s="484"/>
      <c r="U248" s="484"/>
      <c r="V248" s="484"/>
      <c r="W248" s="484"/>
      <c r="X248" s="484"/>
      <c r="Y248" s="484"/>
      <c r="Z248" s="484"/>
      <c r="AA248" s="484"/>
      <c r="AB248" s="484"/>
      <c r="AC248" s="484"/>
      <c r="AD248" s="484"/>
      <c r="AE248" s="484"/>
      <c r="AF248" s="484"/>
      <c r="AG248" s="484"/>
      <c r="AH248" s="484"/>
      <c r="AI248" s="484"/>
      <c r="AJ248" s="484"/>
    </row>
    <row r="249" spans="1:36" x14ac:dyDescent="0.35">
      <c r="A249" s="484"/>
      <c r="B249" s="484"/>
      <c r="C249" s="484"/>
      <c r="D249" s="1"/>
      <c r="E249" s="1"/>
      <c r="F249" s="744"/>
      <c r="G249" s="1"/>
      <c r="H249" s="1"/>
      <c r="I249" s="484"/>
      <c r="J249" s="484"/>
      <c r="K249" s="484"/>
      <c r="L249" s="484"/>
      <c r="M249" s="484"/>
      <c r="N249" s="1277"/>
      <c r="O249" s="484"/>
      <c r="P249" s="484"/>
      <c r="Q249" s="484"/>
      <c r="R249" s="484"/>
      <c r="S249" s="484"/>
      <c r="T249" s="484"/>
      <c r="U249" s="484"/>
      <c r="V249" s="484"/>
      <c r="W249" s="484"/>
      <c r="X249" s="484"/>
      <c r="Y249" s="484"/>
      <c r="Z249" s="484"/>
      <c r="AA249" s="484"/>
      <c r="AB249" s="484"/>
      <c r="AC249" s="484"/>
      <c r="AD249" s="484"/>
      <c r="AE249" s="484"/>
      <c r="AF249" s="484"/>
      <c r="AG249" s="484"/>
      <c r="AH249" s="484"/>
      <c r="AI249" s="484"/>
      <c r="AJ249" s="484"/>
    </row>
    <row r="250" spans="1:36" x14ac:dyDescent="0.35">
      <c r="A250" s="484"/>
      <c r="B250" s="484"/>
      <c r="C250" s="484"/>
      <c r="D250" s="1"/>
      <c r="E250" s="1"/>
      <c r="F250" s="744"/>
      <c r="G250" s="1"/>
      <c r="H250" s="1"/>
      <c r="I250" s="484"/>
      <c r="J250" s="484"/>
      <c r="K250" s="484"/>
      <c r="L250" s="484"/>
      <c r="M250" s="484"/>
      <c r="N250" s="1277"/>
      <c r="O250" s="484"/>
      <c r="P250" s="484"/>
      <c r="Q250" s="484"/>
      <c r="R250" s="484"/>
      <c r="S250" s="484"/>
      <c r="T250" s="484"/>
      <c r="U250" s="484"/>
      <c r="V250" s="484"/>
      <c r="W250" s="484"/>
      <c r="X250" s="484"/>
      <c r="Y250" s="484"/>
      <c r="Z250" s="484"/>
      <c r="AA250" s="484"/>
      <c r="AB250" s="484"/>
      <c r="AC250" s="484"/>
      <c r="AD250" s="484"/>
      <c r="AE250" s="484"/>
      <c r="AF250" s="484"/>
      <c r="AG250" s="484"/>
      <c r="AH250" s="484"/>
      <c r="AI250" s="484"/>
      <c r="AJ250" s="484"/>
    </row>
    <row r="251" spans="1:36" x14ac:dyDescent="0.35">
      <c r="A251" s="484"/>
      <c r="B251" s="484"/>
      <c r="C251" s="484"/>
      <c r="D251" s="1"/>
      <c r="E251" s="1"/>
      <c r="F251" s="744"/>
      <c r="G251" s="1"/>
      <c r="H251" s="1"/>
      <c r="I251" s="484"/>
      <c r="J251" s="484"/>
      <c r="K251" s="484"/>
      <c r="L251" s="484"/>
      <c r="M251" s="484"/>
      <c r="N251" s="1277"/>
      <c r="O251" s="484"/>
      <c r="P251" s="484"/>
      <c r="Q251" s="484"/>
      <c r="R251" s="484"/>
      <c r="S251" s="484"/>
      <c r="T251" s="484"/>
      <c r="U251" s="484"/>
      <c r="V251" s="484"/>
      <c r="W251" s="484"/>
      <c r="X251" s="484"/>
      <c r="Y251" s="484"/>
      <c r="Z251" s="484"/>
      <c r="AA251" s="484"/>
      <c r="AB251" s="484"/>
      <c r="AC251" s="484"/>
      <c r="AD251" s="484"/>
      <c r="AE251" s="484"/>
      <c r="AF251" s="484"/>
      <c r="AG251" s="484"/>
      <c r="AH251" s="484"/>
      <c r="AI251" s="484"/>
      <c r="AJ251" s="484"/>
    </row>
    <row r="252" spans="1:36" x14ac:dyDescent="0.35">
      <c r="A252" s="484"/>
      <c r="B252" s="484"/>
      <c r="C252" s="484"/>
      <c r="D252" s="1"/>
      <c r="E252" s="1"/>
      <c r="F252" s="744"/>
      <c r="G252" s="1"/>
      <c r="H252" s="1"/>
      <c r="I252" s="484"/>
      <c r="J252" s="484"/>
      <c r="K252" s="484"/>
      <c r="L252" s="484"/>
      <c r="M252" s="484"/>
      <c r="N252" s="1277"/>
      <c r="O252" s="484"/>
      <c r="P252" s="484"/>
      <c r="Q252" s="484"/>
      <c r="R252" s="484"/>
      <c r="S252" s="484"/>
      <c r="T252" s="484"/>
      <c r="U252" s="484"/>
      <c r="V252" s="484"/>
      <c r="W252" s="484"/>
      <c r="X252" s="484"/>
      <c r="Y252" s="484"/>
      <c r="Z252" s="484"/>
      <c r="AA252" s="484"/>
      <c r="AB252" s="484"/>
      <c r="AC252" s="484"/>
      <c r="AD252" s="484"/>
      <c r="AE252" s="484"/>
      <c r="AF252" s="484"/>
      <c r="AG252" s="484"/>
      <c r="AH252" s="484"/>
      <c r="AI252" s="484"/>
      <c r="AJ252" s="484"/>
    </row>
    <row r="253" spans="1:36" x14ac:dyDescent="0.35">
      <c r="A253" s="484"/>
      <c r="B253" s="484"/>
      <c r="C253" s="484"/>
      <c r="D253" s="1"/>
      <c r="E253" s="1"/>
      <c r="F253" s="744"/>
      <c r="G253" s="1"/>
      <c r="H253" s="1"/>
      <c r="I253" s="484"/>
      <c r="J253" s="484"/>
      <c r="K253" s="484"/>
      <c r="L253" s="484"/>
      <c r="M253" s="484"/>
      <c r="N253" s="1277"/>
      <c r="O253" s="484"/>
      <c r="P253" s="484"/>
      <c r="Q253" s="484"/>
      <c r="R253" s="484"/>
      <c r="S253" s="484"/>
      <c r="T253" s="484"/>
      <c r="U253" s="484"/>
      <c r="V253" s="484"/>
      <c r="W253" s="484"/>
      <c r="X253" s="484"/>
      <c r="Y253" s="484"/>
      <c r="Z253" s="484"/>
      <c r="AA253" s="484"/>
      <c r="AB253" s="484"/>
      <c r="AC253" s="484"/>
      <c r="AD253" s="484"/>
      <c r="AE253" s="484"/>
      <c r="AF253" s="484"/>
      <c r="AG253" s="484"/>
      <c r="AH253" s="484"/>
      <c r="AI253" s="484"/>
      <c r="AJ253" s="484"/>
    </row>
    <row r="254" spans="1:36" x14ac:dyDescent="0.35">
      <c r="A254" s="484"/>
      <c r="B254" s="484"/>
      <c r="C254" s="484"/>
      <c r="D254" s="1"/>
      <c r="E254" s="1"/>
      <c r="F254" s="744"/>
      <c r="G254" s="1"/>
      <c r="H254" s="1"/>
      <c r="I254" s="484"/>
      <c r="J254" s="484"/>
      <c r="K254" s="484"/>
      <c r="L254" s="484"/>
      <c r="M254" s="484"/>
      <c r="N254" s="1277"/>
      <c r="O254" s="484"/>
      <c r="P254" s="484"/>
      <c r="Q254" s="484"/>
      <c r="R254" s="484"/>
      <c r="S254" s="484"/>
      <c r="T254" s="484"/>
      <c r="U254" s="484"/>
      <c r="V254" s="484"/>
      <c r="W254" s="484"/>
      <c r="X254" s="484"/>
      <c r="Y254" s="484"/>
      <c r="Z254" s="484"/>
      <c r="AA254" s="484"/>
      <c r="AB254" s="484"/>
      <c r="AC254" s="484"/>
      <c r="AD254" s="484"/>
      <c r="AE254" s="484"/>
      <c r="AF254" s="484"/>
      <c r="AG254" s="484"/>
      <c r="AH254" s="484"/>
      <c r="AI254" s="484"/>
      <c r="AJ254" s="484"/>
    </row>
    <row r="255" spans="1:36" x14ac:dyDescent="0.35">
      <c r="A255" s="484"/>
      <c r="B255" s="484"/>
      <c r="C255" s="484"/>
      <c r="D255" s="1"/>
      <c r="E255" s="1"/>
      <c r="F255" s="744"/>
      <c r="G255" s="1"/>
      <c r="H255" s="1"/>
      <c r="I255" s="484"/>
      <c r="J255" s="484"/>
      <c r="K255" s="484"/>
      <c r="L255" s="484"/>
      <c r="M255" s="484"/>
      <c r="N255" s="1277"/>
      <c r="O255" s="484"/>
      <c r="P255" s="484"/>
      <c r="Q255" s="484"/>
      <c r="R255" s="484"/>
      <c r="S255" s="484"/>
      <c r="T255" s="484"/>
      <c r="U255" s="484"/>
      <c r="V255" s="484"/>
      <c r="W255" s="484"/>
      <c r="X255" s="484"/>
      <c r="Y255" s="484"/>
      <c r="Z255" s="484"/>
      <c r="AA255" s="484"/>
      <c r="AB255" s="484"/>
      <c r="AC255" s="484"/>
      <c r="AD255" s="484"/>
      <c r="AE255" s="484"/>
      <c r="AF255" s="484"/>
      <c r="AG255" s="484"/>
      <c r="AH255" s="484"/>
      <c r="AI255" s="484"/>
      <c r="AJ255" s="484"/>
    </row>
    <row r="256" spans="1:36" x14ac:dyDescent="0.35">
      <c r="A256" s="484"/>
      <c r="B256" s="484"/>
      <c r="C256" s="484"/>
      <c r="D256" s="1"/>
      <c r="E256" s="1"/>
      <c r="F256" s="744"/>
      <c r="G256" s="1"/>
      <c r="H256" s="1"/>
      <c r="I256" s="484"/>
      <c r="J256" s="484"/>
      <c r="K256" s="484"/>
      <c r="L256" s="484"/>
      <c r="M256" s="484"/>
      <c r="N256" s="1277"/>
      <c r="O256" s="484"/>
      <c r="P256" s="484"/>
      <c r="Q256" s="484"/>
      <c r="R256" s="484"/>
      <c r="S256" s="484"/>
      <c r="T256" s="484"/>
      <c r="U256" s="484"/>
      <c r="V256" s="484"/>
      <c r="W256" s="484"/>
      <c r="X256" s="484"/>
      <c r="Y256" s="484"/>
      <c r="Z256" s="484"/>
      <c r="AA256" s="484"/>
      <c r="AB256" s="484"/>
      <c r="AC256" s="484"/>
      <c r="AD256" s="484"/>
      <c r="AE256" s="484"/>
      <c r="AF256" s="484"/>
      <c r="AG256" s="484"/>
      <c r="AH256" s="484"/>
      <c r="AI256" s="484"/>
      <c r="AJ256" s="484"/>
    </row>
    <row r="257" spans="1:36" x14ac:dyDescent="0.35">
      <c r="A257" s="484"/>
      <c r="B257" s="484"/>
      <c r="C257" s="484"/>
      <c r="D257" s="1"/>
      <c r="E257" s="1"/>
      <c r="F257" s="744"/>
      <c r="G257" s="1"/>
      <c r="H257" s="1"/>
      <c r="I257" s="484"/>
      <c r="J257" s="484"/>
      <c r="K257" s="484"/>
      <c r="L257" s="484"/>
      <c r="M257" s="484"/>
      <c r="N257" s="1277"/>
      <c r="O257" s="484"/>
      <c r="P257" s="484"/>
      <c r="Q257" s="484"/>
      <c r="R257" s="484"/>
      <c r="S257" s="484"/>
      <c r="T257" s="484"/>
      <c r="U257" s="484"/>
      <c r="V257" s="484"/>
      <c r="W257" s="484"/>
      <c r="X257" s="484"/>
      <c r="Y257" s="484"/>
      <c r="Z257" s="484"/>
      <c r="AA257" s="484"/>
      <c r="AB257" s="484"/>
      <c r="AC257" s="484"/>
      <c r="AD257" s="484"/>
      <c r="AE257" s="484"/>
      <c r="AF257" s="484"/>
      <c r="AG257" s="484"/>
      <c r="AH257" s="484"/>
      <c r="AI257" s="484"/>
      <c r="AJ257" s="484"/>
    </row>
    <row r="258" spans="1:36" x14ac:dyDescent="0.35">
      <c r="A258" s="484"/>
      <c r="B258" s="484"/>
      <c r="C258" s="484"/>
      <c r="D258" s="1"/>
      <c r="E258" s="1"/>
      <c r="F258" s="744"/>
      <c r="G258" s="1"/>
      <c r="H258" s="1"/>
      <c r="I258" s="484"/>
      <c r="J258" s="484"/>
      <c r="K258" s="484"/>
      <c r="L258" s="484"/>
      <c r="M258" s="484"/>
      <c r="N258" s="1277"/>
      <c r="O258" s="484"/>
      <c r="P258" s="484"/>
      <c r="Q258" s="484"/>
      <c r="R258" s="484"/>
      <c r="S258" s="484"/>
      <c r="T258" s="484"/>
      <c r="U258" s="484"/>
      <c r="V258" s="484"/>
      <c r="W258" s="484"/>
      <c r="X258" s="484"/>
      <c r="Y258" s="484"/>
      <c r="Z258" s="484"/>
      <c r="AA258" s="484"/>
      <c r="AB258" s="484"/>
      <c r="AC258" s="484"/>
      <c r="AD258" s="484"/>
      <c r="AE258" s="484"/>
      <c r="AF258" s="484"/>
      <c r="AG258" s="484"/>
      <c r="AH258" s="484"/>
      <c r="AI258" s="484"/>
      <c r="AJ258" s="484"/>
    </row>
    <row r="259" spans="1:36" x14ac:dyDescent="0.35">
      <c r="A259" s="484"/>
      <c r="B259" s="484"/>
      <c r="C259" s="484"/>
      <c r="D259" s="1"/>
      <c r="E259" s="1"/>
      <c r="F259" s="744"/>
      <c r="G259" s="1"/>
      <c r="H259" s="1"/>
      <c r="I259" s="484"/>
      <c r="J259" s="484"/>
      <c r="K259" s="484"/>
      <c r="L259" s="484"/>
      <c r="M259" s="484"/>
      <c r="N259" s="1277"/>
      <c r="O259" s="484"/>
      <c r="P259" s="484"/>
      <c r="Q259" s="484"/>
      <c r="R259" s="484"/>
      <c r="S259" s="484"/>
      <c r="T259" s="484"/>
      <c r="U259" s="484"/>
      <c r="V259" s="484"/>
      <c r="W259" s="484"/>
      <c r="X259" s="484"/>
      <c r="Y259" s="484"/>
      <c r="Z259" s="484"/>
      <c r="AA259" s="484"/>
      <c r="AB259" s="484"/>
      <c r="AC259" s="484"/>
      <c r="AD259" s="484"/>
      <c r="AE259" s="484"/>
      <c r="AF259" s="484"/>
      <c r="AG259" s="484"/>
      <c r="AH259" s="484"/>
      <c r="AI259" s="484"/>
      <c r="AJ259" s="484"/>
    </row>
    <row r="260" spans="1:36" x14ac:dyDescent="0.35">
      <c r="A260" s="484"/>
      <c r="B260" s="484"/>
      <c r="C260" s="484"/>
      <c r="D260" s="1"/>
      <c r="E260" s="1"/>
      <c r="F260" s="744"/>
      <c r="G260" s="1"/>
      <c r="H260" s="1"/>
      <c r="I260" s="484"/>
      <c r="J260" s="484"/>
      <c r="K260" s="484"/>
      <c r="L260" s="484"/>
      <c r="M260" s="484"/>
      <c r="N260" s="1277"/>
      <c r="O260" s="484"/>
      <c r="P260" s="484"/>
      <c r="Q260" s="484"/>
      <c r="R260" s="484"/>
      <c r="S260" s="484"/>
      <c r="T260" s="484"/>
      <c r="U260" s="484"/>
      <c r="V260" s="484"/>
      <c r="W260" s="484"/>
      <c r="X260" s="484"/>
      <c r="Y260" s="484"/>
      <c r="Z260" s="484"/>
      <c r="AA260" s="484"/>
      <c r="AB260" s="484"/>
      <c r="AC260" s="484"/>
      <c r="AD260" s="484"/>
      <c r="AE260" s="484"/>
      <c r="AF260" s="484"/>
      <c r="AG260" s="484"/>
      <c r="AH260" s="484"/>
      <c r="AI260" s="484"/>
      <c r="AJ260" s="484"/>
    </row>
    <row r="261" spans="1:36" x14ac:dyDescent="0.35">
      <c r="A261" s="484"/>
      <c r="B261" s="484"/>
      <c r="C261" s="484"/>
      <c r="D261" s="1"/>
      <c r="E261" s="1"/>
      <c r="F261" s="744"/>
      <c r="G261" s="1"/>
      <c r="H261" s="1"/>
      <c r="I261" s="484"/>
      <c r="J261" s="484"/>
      <c r="K261" s="484"/>
      <c r="L261" s="484"/>
      <c r="M261" s="484"/>
      <c r="N261" s="1277"/>
      <c r="O261" s="484"/>
      <c r="P261" s="484"/>
      <c r="Q261" s="484"/>
      <c r="R261" s="484"/>
      <c r="S261" s="484"/>
      <c r="T261" s="484"/>
      <c r="U261" s="484"/>
      <c r="V261" s="484"/>
      <c r="W261" s="484"/>
      <c r="X261" s="484"/>
      <c r="Y261" s="484"/>
      <c r="Z261" s="484"/>
      <c r="AA261" s="484"/>
      <c r="AB261" s="484"/>
      <c r="AC261" s="484"/>
      <c r="AD261" s="484"/>
      <c r="AE261" s="484"/>
      <c r="AF261" s="484"/>
      <c r="AG261" s="484"/>
      <c r="AH261" s="484"/>
      <c r="AI261" s="484"/>
      <c r="AJ261" s="484"/>
    </row>
    <row r="262" spans="1:36" x14ac:dyDescent="0.35">
      <c r="A262" s="484"/>
      <c r="B262" s="484"/>
      <c r="C262" s="484"/>
      <c r="D262" s="1"/>
      <c r="E262" s="1"/>
      <c r="F262" s="744"/>
      <c r="G262" s="1"/>
      <c r="H262" s="1"/>
      <c r="I262" s="484"/>
      <c r="J262" s="484"/>
      <c r="K262" s="484"/>
      <c r="L262" s="484"/>
      <c r="M262" s="484"/>
      <c r="N262" s="1277"/>
      <c r="O262" s="484"/>
      <c r="P262" s="484"/>
      <c r="Q262" s="484"/>
      <c r="R262" s="484"/>
      <c r="S262" s="484"/>
      <c r="T262" s="484"/>
      <c r="U262" s="484"/>
      <c r="V262" s="484"/>
      <c r="W262" s="484"/>
      <c r="X262" s="484"/>
      <c r="Y262" s="484"/>
      <c r="Z262" s="484"/>
      <c r="AA262" s="484"/>
      <c r="AB262" s="484"/>
      <c r="AC262" s="484"/>
      <c r="AD262" s="484"/>
      <c r="AE262" s="484"/>
      <c r="AF262" s="484"/>
      <c r="AG262" s="484"/>
      <c r="AH262" s="484"/>
      <c r="AI262" s="484"/>
      <c r="AJ262" s="484"/>
    </row>
    <row r="263" spans="1:36" x14ac:dyDescent="0.35">
      <c r="A263" s="484"/>
      <c r="B263" s="484"/>
      <c r="C263" s="484"/>
      <c r="D263" s="1"/>
      <c r="E263" s="1"/>
      <c r="F263" s="744"/>
      <c r="G263" s="1"/>
      <c r="H263" s="1"/>
      <c r="I263" s="484"/>
      <c r="J263" s="484"/>
      <c r="K263" s="484"/>
      <c r="L263" s="484"/>
      <c r="M263" s="484"/>
      <c r="N263" s="1277"/>
      <c r="O263" s="484"/>
      <c r="P263" s="484"/>
      <c r="Q263" s="484"/>
      <c r="R263" s="484"/>
      <c r="S263" s="484"/>
      <c r="T263" s="484"/>
      <c r="U263" s="484"/>
      <c r="V263" s="484"/>
      <c r="W263" s="484"/>
      <c r="X263" s="484"/>
      <c r="Y263" s="484"/>
      <c r="Z263" s="484"/>
      <c r="AA263" s="484"/>
      <c r="AB263" s="484"/>
      <c r="AC263" s="484"/>
      <c r="AD263" s="484"/>
      <c r="AE263" s="484"/>
      <c r="AF263" s="484"/>
      <c r="AG263" s="484"/>
      <c r="AH263" s="484"/>
      <c r="AI263" s="484"/>
      <c r="AJ263" s="484"/>
    </row>
    <row r="264" spans="1:36" x14ac:dyDescent="0.35">
      <c r="A264" s="484"/>
      <c r="B264" s="484"/>
      <c r="C264" s="484"/>
      <c r="D264" s="1"/>
      <c r="E264" s="1"/>
      <c r="F264" s="744"/>
      <c r="G264" s="1"/>
      <c r="H264" s="1"/>
      <c r="I264" s="484"/>
      <c r="J264" s="484"/>
      <c r="K264" s="484"/>
      <c r="L264" s="484"/>
      <c r="M264" s="484"/>
      <c r="N264" s="1277"/>
      <c r="O264" s="484"/>
      <c r="P264" s="484"/>
      <c r="Q264" s="484"/>
      <c r="R264" s="484"/>
      <c r="S264" s="484"/>
      <c r="T264" s="484"/>
      <c r="U264" s="484"/>
      <c r="V264" s="484"/>
      <c r="W264" s="484"/>
      <c r="X264" s="484"/>
      <c r="Y264" s="484"/>
      <c r="Z264" s="484"/>
      <c r="AA264" s="484"/>
      <c r="AB264" s="484"/>
      <c r="AC264" s="484"/>
      <c r="AD264" s="484"/>
      <c r="AE264" s="484"/>
      <c r="AF264" s="484"/>
      <c r="AG264" s="484"/>
      <c r="AH264" s="484"/>
      <c r="AI264" s="484"/>
      <c r="AJ264" s="484"/>
    </row>
    <row r="265" spans="1:36" x14ac:dyDescent="0.35">
      <c r="A265" s="484"/>
      <c r="B265" s="484"/>
      <c r="C265" s="484"/>
      <c r="D265" s="1"/>
      <c r="E265" s="1"/>
      <c r="F265" s="744"/>
      <c r="G265" s="1"/>
      <c r="H265" s="1"/>
      <c r="I265" s="484"/>
      <c r="J265" s="484"/>
      <c r="K265" s="484"/>
      <c r="L265" s="484"/>
      <c r="M265" s="484"/>
      <c r="N265" s="1277"/>
      <c r="O265" s="484"/>
      <c r="P265" s="484"/>
      <c r="Q265" s="484"/>
      <c r="R265" s="484"/>
      <c r="S265" s="484"/>
      <c r="T265" s="484"/>
      <c r="U265" s="484"/>
      <c r="V265" s="484"/>
      <c r="W265" s="484"/>
      <c r="X265" s="484"/>
      <c r="Y265" s="484"/>
      <c r="Z265" s="484"/>
      <c r="AA265" s="484"/>
      <c r="AB265" s="484"/>
      <c r="AC265" s="484"/>
      <c r="AD265" s="484"/>
      <c r="AE265" s="484"/>
      <c r="AF265" s="484"/>
      <c r="AG265" s="484"/>
      <c r="AH265" s="484"/>
      <c r="AI265" s="484"/>
      <c r="AJ265" s="484"/>
    </row>
    <row r="266" spans="1:36" x14ac:dyDescent="0.35">
      <c r="A266" s="484"/>
      <c r="B266" s="484"/>
      <c r="C266" s="484"/>
      <c r="D266" s="1"/>
      <c r="E266" s="1"/>
      <c r="F266" s="744"/>
      <c r="G266" s="1"/>
      <c r="H266" s="1"/>
      <c r="I266" s="484"/>
      <c r="J266" s="484"/>
      <c r="K266" s="484"/>
      <c r="L266" s="484"/>
      <c r="M266" s="484"/>
      <c r="N266" s="1277"/>
      <c r="O266" s="484"/>
      <c r="P266" s="484"/>
      <c r="Q266" s="484"/>
      <c r="R266" s="484"/>
      <c r="S266" s="484"/>
      <c r="T266" s="484"/>
      <c r="U266" s="484"/>
      <c r="V266" s="484"/>
      <c r="W266" s="484"/>
      <c r="X266" s="484"/>
      <c r="Y266" s="484"/>
      <c r="Z266" s="484"/>
      <c r="AA266" s="484"/>
      <c r="AB266" s="484"/>
      <c r="AC266" s="484"/>
      <c r="AD266" s="484"/>
      <c r="AE266" s="484"/>
      <c r="AF266" s="484"/>
      <c r="AG266" s="484"/>
      <c r="AH266" s="484"/>
      <c r="AI266" s="484"/>
      <c r="AJ266" s="484"/>
    </row>
    <row r="267" spans="1:36" x14ac:dyDescent="0.35">
      <c r="A267" s="484"/>
      <c r="B267" s="484"/>
      <c r="C267" s="484"/>
      <c r="D267" s="1"/>
      <c r="E267" s="1"/>
      <c r="F267" s="744"/>
      <c r="G267" s="1"/>
      <c r="H267" s="1"/>
      <c r="I267" s="484"/>
      <c r="J267" s="484"/>
      <c r="K267" s="484"/>
      <c r="L267" s="484"/>
      <c r="M267" s="484"/>
      <c r="N267" s="1277"/>
      <c r="O267" s="484"/>
      <c r="P267" s="484"/>
      <c r="Q267" s="484"/>
      <c r="R267" s="484"/>
      <c r="S267" s="484"/>
      <c r="T267" s="484"/>
      <c r="U267" s="484"/>
      <c r="V267" s="484"/>
      <c r="W267" s="484"/>
      <c r="X267" s="484"/>
      <c r="Y267" s="484"/>
      <c r="Z267" s="484"/>
      <c r="AA267" s="484"/>
      <c r="AB267" s="484"/>
      <c r="AC267" s="484"/>
      <c r="AD267" s="484"/>
      <c r="AE267" s="484"/>
      <c r="AF267" s="484"/>
      <c r="AG267" s="484"/>
      <c r="AH267" s="484"/>
      <c r="AI267" s="484"/>
      <c r="AJ267" s="484"/>
    </row>
    <row r="268" spans="1:36" x14ac:dyDescent="0.35">
      <c r="A268" s="484"/>
      <c r="B268" s="484"/>
      <c r="C268" s="484"/>
      <c r="D268" s="1"/>
      <c r="E268" s="1"/>
      <c r="F268" s="744"/>
      <c r="G268" s="1"/>
      <c r="H268" s="1"/>
      <c r="I268" s="484"/>
      <c r="J268" s="484"/>
      <c r="K268" s="484"/>
      <c r="L268" s="484"/>
      <c r="M268" s="484"/>
      <c r="N268" s="1277"/>
      <c r="O268" s="484"/>
      <c r="P268" s="484"/>
      <c r="Q268" s="484"/>
      <c r="R268" s="484"/>
      <c r="S268" s="484"/>
      <c r="T268" s="484"/>
      <c r="U268" s="484"/>
      <c r="V268" s="484"/>
      <c r="W268" s="484"/>
      <c r="X268" s="484"/>
      <c r="Y268" s="484"/>
      <c r="Z268" s="484"/>
      <c r="AA268" s="484"/>
      <c r="AB268" s="484"/>
      <c r="AC268" s="484"/>
      <c r="AD268" s="484"/>
      <c r="AE268" s="484"/>
      <c r="AF268" s="484"/>
      <c r="AG268" s="484"/>
      <c r="AH268" s="484"/>
      <c r="AI268" s="484"/>
      <c r="AJ268" s="484"/>
    </row>
    <row r="269" spans="1:36" x14ac:dyDescent="0.35">
      <c r="A269" s="484"/>
      <c r="B269" s="484"/>
      <c r="C269" s="484"/>
      <c r="D269" s="1"/>
      <c r="E269" s="1"/>
      <c r="F269" s="744"/>
      <c r="G269" s="1"/>
      <c r="H269" s="1"/>
      <c r="I269" s="484"/>
      <c r="J269" s="484"/>
      <c r="K269" s="484"/>
      <c r="L269" s="484"/>
      <c r="M269" s="484"/>
      <c r="N269" s="1277"/>
      <c r="O269" s="484"/>
      <c r="P269" s="484"/>
      <c r="Q269" s="484"/>
      <c r="R269" s="484"/>
      <c r="S269" s="484"/>
      <c r="T269" s="484"/>
      <c r="U269" s="484"/>
      <c r="V269" s="484"/>
      <c r="W269" s="484"/>
      <c r="X269" s="484"/>
      <c r="Y269" s="484"/>
      <c r="Z269" s="484"/>
      <c r="AA269" s="484"/>
      <c r="AB269" s="484"/>
      <c r="AC269" s="484"/>
      <c r="AD269" s="484"/>
      <c r="AE269" s="484"/>
      <c r="AF269" s="484"/>
      <c r="AG269" s="484"/>
      <c r="AH269" s="484"/>
      <c r="AI269" s="484"/>
      <c r="AJ269" s="484"/>
    </row>
    <row r="270" spans="1:36" x14ac:dyDescent="0.35">
      <c r="A270" s="484"/>
      <c r="B270" s="484"/>
      <c r="C270" s="484"/>
      <c r="D270" s="1"/>
      <c r="E270" s="1"/>
      <c r="F270" s="744"/>
      <c r="G270" s="1"/>
      <c r="H270" s="1"/>
      <c r="I270" s="484"/>
      <c r="J270" s="484"/>
      <c r="K270" s="484"/>
      <c r="L270" s="484"/>
      <c r="M270" s="484"/>
      <c r="N270" s="1277"/>
      <c r="O270" s="484"/>
      <c r="P270" s="484"/>
      <c r="Q270" s="484"/>
      <c r="R270" s="484"/>
      <c r="S270" s="484"/>
      <c r="T270" s="484"/>
      <c r="U270" s="484"/>
      <c r="V270" s="484"/>
      <c r="W270" s="484"/>
      <c r="X270" s="484"/>
      <c r="Y270" s="484"/>
      <c r="Z270" s="484"/>
      <c r="AA270" s="484"/>
      <c r="AB270" s="484"/>
      <c r="AC270" s="484"/>
      <c r="AD270" s="484"/>
      <c r="AE270" s="484"/>
      <c r="AF270" s="484"/>
      <c r="AG270" s="484"/>
      <c r="AH270" s="484"/>
      <c r="AI270" s="484"/>
      <c r="AJ270" s="484"/>
    </row>
    <row r="271" spans="1:36" x14ac:dyDescent="0.35">
      <c r="A271" s="484"/>
      <c r="B271" s="484"/>
      <c r="C271" s="484"/>
      <c r="D271" s="1"/>
      <c r="E271" s="1"/>
      <c r="F271" s="744"/>
      <c r="G271" s="1"/>
      <c r="H271" s="1"/>
      <c r="I271" s="484"/>
      <c r="J271" s="484"/>
      <c r="K271" s="484"/>
      <c r="L271" s="484"/>
      <c r="M271" s="484"/>
      <c r="N271" s="1277"/>
      <c r="O271" s="484"/>
      <c r="P271" s="484"/>
      <c r="Q271" s="484"/>
      <c r="R271" s="484"/>
      <c r="S271" s="484"/>
      <c r="T271" s="484"/>
      <c r="U271" s="484"/>
      <c r="V271" s="484"/>
      <c r="W271" s="484"/>
      <c r="X271" s="484"/>
      <c r="Y271" s="484"/>
      <c r="Z271" s="484"/>
      <c r="AA271" s="484"/>
      <c r="AB271" s="484"/>
      <c r="AC271" s="484"/>
      <c r="AD271" s="484"/>
      <c r="AE271" s="484"/>
      <c r="AF271" s="484"/>
      <c r="AG271" s="484"/>
      <c r="AH271" s="484"/>
      <c r="AI271" s="484"/>
      <c r="AJ271" s="484"/>
    </row>
    <row r="272" spans="1:36" x14ac:dyDescent="0.35">
      <c r="A272" s="484"/>
      <c r="B272" s="484"/>
      <c r="C272" s="484"/>
      <c r="D272" s="1"/>
      <c r="E272" s="1"/>
      <c r="F272" s="744"/>
      <c r="G272" s="1"/>
      <c r="H272" s="1"/>
      <c r="I272" s="484"/>
      <c r="J272" s="484"/>
      <c r="K272" s="484"/>
      <c r="L272" s="484"/>
      <c r="M272" s="484"/>
      <c r="N272" s="1277"/>
      <c r="O272" s="484"/>
      <c r="P272" s="484"/>
      <c r="Q272" s="484"/>
      <c r="R272" s="484"/>
      <c r="S272" s="484"/>
      <c r="T272" s="484"/>
      <c r="U272" s="484"/>
      <c r="V272" s="484"/>
      <c r="W272" s="484"/>
      <c r="X272" s="484"/>
      <c r="Y272" s="484"/>
      <c r="Z272" s="484"/>
      <c r="AA272" s="484"/>
      <c r="AB272" s="484"/>
      <c r="AC272" s="484"/>
      <c r="AD272" s="484"/>
      <c r="AE272" s="484"/>
      <c r="AF272" s="484"/>
      <c r="AG272" s="484"/>
      <c r="AH272" s="484"/>
      <c r="AI272" s="484"/>
      <c r="AJ272" s="484"/>
    </row>
    <row r="273" spans="1:36" x14ac:dyDescent="0.35">
      <c r="A273" s="484"/>
      <c r="B273" s="484"/>
      <c r="C273" s="484"/>
      <c r="D273" s="1"/>
      <c r="E273" s="1"/>
      <c r="F273" s="744"/>
      <c r="G273" s="1"/>
      <c r="H273" s="1"/>
      <c r="I273" s="484"/>
      <c r="J273" s="484"/>
      <c r="K273" s="484"/>
      <c r="L273" s="484"/>
      <c r="M273" s="484"/>
      <c r="N273" s="1277"/>
      <c r="O273" s="484"/>
      <c r="P273" s="484"/>
      <c r="Q273" s="484"/>
      <c r="R273" s="484"/>
      <c r="S273" s="484"/>
      <c r="T273" s="484"/>
      <c r="U273" s="484"/>
      <c r="V273" s="484"/>
      <c r="W273" s="484"/>
      <c r="X273" s="484"/>
      <c r="Y273" s="484"/>
      <c r="Z273" s="484"/>
      <c r="AA273" s="484"/>
      <c r="AB273" s="484"/>
      <c r="AC273" s="484"/>
      <c r="AD273" s="484"/>
      <c r="AE273" s="484"/>
      <c r="AF273" s="484"/>
      <c r="AG273" s="484"/>
      <c r="AH273" s="484"/>
      <c r="AI273" s="484"/>
      <c r="AJ273" s="484"/>
    </row>
    <row r="274" spans="1:36" x14ac:dyDescent="0.35">
      <c r="A274" s="484"/>
      <c r="B274" s="484"/>
      <c r="C274" s="484"/>
      <c r="D274" s="1"/>
      <c r="E274" s="1"/>
      <c r="F274" s="744"/>
      <c r="G274" s="1"/>
      <c r="H274" s="1"/>
      <c r="I274" s="484"/>
      <c r="J274" s="484"/>
      <c r="K274" s="484"/>
      <c r="L274" s="484"/>
      <c r="M274" s="484"/>
      <c r="N274" s="1277"/>
      <c r="O274" s="484"/>
      <c r="P274" s="484"/>
      <c r="Q274" s="484"/>
      <c r="R274" s="484"/>
      <c r="S274" s="484"/>
      <c r="T274" s="484"/>
      <c r="U274" s="484"/>
      <c r="V274" s="484"/>
      <c r="W274" s="484"/>
      <c r="X274" s="484"/>
      <c r="Y274" s="484"/>
      <c r="Z274" s="484"/>
      <c r="AA274" s="484"/>
      <c r="AB274" s="484"/>
      <c r="AC274" s="484"/>
      <c r="AD274" s="484"/>
      <c r="AE274" s="484"/>
      <c r="AF274" s="484"/>
      <c r="AG274" s="484"/>
      <c r="AH274" s="484"/>
      <c r="AI274" s="484"/>
      <c r="AJ274" s="484"/>
    </row>
    <row r="275" spans="1:36" x14ac:dyDescent="0.35">
      <c r="A275" s="484"/>
      <c r="B275" s="484"/>
      <c r="C275" s="484"/>
      <c r="D275" s="1"/>
      <c r="E275" s="1"/>
      <c r="F275" s="744"/>
      <c r="G275" s="1"/>
      <c r="H275" s="1"/>
      <c r="I275" s="484"/>
      <c r="J275" s="484"/>
      <c r="K275" s="484"/>
      <c r="L275" s="484"/>
      <c r="M275" s="484"/>
      <c r="N275" s="1277"/>
      <c r="O275" s="484"/>
      <c r="P275" s="484"/>
      <c r="Q275" s="484"/>
      <c r="R275" s="484"/>
      <c r="S275" s="484"/>
      <c r="T275" s="484"/>
      <c r="U275" s="484"/>
      <c r="V275" s="484"/>
      <c r="W275" s="484"/>
      <c r="X275" s="484"/>
      <c r="Y275" s="484"/>
      <c r="Z275" s="484"/>
      <c r="AA275" s="484"/>
      <c r="AB275" s="484"/>
      <c r="AC275" s="484"/>
      <c r="AD275" s="484"/>
      <c r="AE275" s="484"/>
      <c r="AF275" s="484"/>
      <c r="AG275" s="484"/>
      <c r="AH275" s="484"/>
      <c r="AI275" s="484"/>
      <c r="AJ275" s="484"/>
    </row>
    <row r="276" spans="1:36" x14ac:dyDescent="0.35">
      <c r="A276" s="484"/>
      <c r="B276" s="484"/>
      <c r="C276" s="484"/>
      <c r="D276" s="1"/>
      <c r="E276" s="1"/>
      <c r="F276" s="744"/>
      <c r="G276" s="1"/>
      <c r="H276" s="1"/>
      <c r="I276" s="484"/>
      <c r="J276" s="484"/>
      <c r="K276" s="484"/>
      <c r="L276" s="484"/>
      <c r="M276" s="484"/>
      <c r="N276" s="1277"/>
      <c r="O276" s="484"/>
      <c r="P276" s="484"/>
      <c r="Q276" s="484"/>
      <c r="R276" s="484"/>
      <c r="S276" s="484"/>
      <c r="T276" s="484"/>
      <c r="U276" s="484"/>
      <c r="V276" s="484"/>
      <c r="W276" s="484"/>
      <c r="X276" s="484"/>
      <c r="Y276" s="484"/>
      <c r="Z276" s="484"/>
      <c r="AA276" s="484"/>
      <c r="AB276" s="484"/>
      <c r="AC276" s="484"/>
      <c r="AD276" s="484"/>
      <c r="AE276" s="484"/>
      <c r="AF276" s="484"/>
      <c r="AG276" s="484"/>
      <c r="AH276" s="484"/>
      <c r="AI276" s="484"/>
      <c r="AJ276" s="484"/>
    </row>
    <row r="277" spans="1:36" x14ac:dyDescent="0.35">
      <c r="A277" s="484"/>
      <c r="B277" s="484"/>
      <c r="C277" s="484"/>
      <c r="D277" s="1"/>
      <c r="E277" s="1"/>
      <c r="F277" s="744"/>
      <c r="G277" s="1"/>
      <c r="H277" s="1"/>
      <c r="I277" s="484"/>
      <c r="J277" s="484"/>
      <c r="K277" s="484"/>
      <c r="L277" s="484"/>
      <c r="M277" s="484"/>
      <c r="N277" s="1277"/>
      <c r="O277" s="484"/>
      <c r="P277" s="484"/>
      <c r="Q277" s="484"/>
      <c r="R277" s="484"/>
      <c r="S277" s="484"/>
      <c r="T277" s="484"/>
      <c r="U277" s="484"/>
      <c r="V277" s="484"/>
      <c r="W277" s="484"/>
      <c r="X277" s="484"/>
      <c r="Y277" s="484"/>
      <c r="Z277" s="484"/>
      <c r="AA277" s="484"/>
      <c r="AB277" s="484"/>
      <c r="AC277" s="484"/>
      <c r="AD277" s="484"/>
      <c r="AE277" s="484"/>
      <c r="AF277" s="484"/>
      <c r="AG277" s="484"/>
      <c r="AH277" s="484"/>
      <c r="AI277" s="484"/>
      <c r="AJ277" s="484"/>
    </row>
    <row r="278" spans="1:36" x14ac:dyDescent="0.35">
      <c r="A278" s="484"/>
      <c r="B278" s="484"/>
      <c r="C278" s="484"/>
      <c r="D278" s="1"/>
      <c r="E278" s="1"/>
      <c r="F278" s="744"/>
      <c r="G278" s="1"/>
      <c r="H278" s="1"/>
      <c r="I278" s="484"/>
      <c r="J278" s="484"/>
      <c r="K278" s="484"/>
      <c r="L278" s="484"/>
      <c r="M278" s="484"/>
      <c r="N278" s="1277"/>
      <c r="O278" s="484"/>
      <c r="P278" s="484"/>
      <c r="Q278" s="484"/>
      <c r="R278" s="484"/>
      <c r="S278" s="484"/>
      <c r="T278" s="484"/>
      <c r="U278" s="484"/>
      <c r="V278" s="484"/>
      <c r="W278" s="484"/>
      <c r="X278" s="484"/>
      <c r="Y278" s="484"/>
      <c r="Z278" s="484"/>
      <c r="AA278" s="484"/>
      <c r="AB278" s="484"/>
      <c r="AC278" s="484"/>
      <c r="AD278" s="484"/>
      <c r="AE278" s="484"/>
      <c r="AF278" s="484"/>
      <c r="AG278" s="484"/>
      <c r="AH278" s="484"/>
      <c r="AI278" s="484"/>
      <c r="AJ278" s="484"/>
    </row>
    <row r="279" spans="1:36" x14ac:dyDescent="0.35">
      <c r="A279" s="484"/>
      <c r="B279" s="484"/>
      <c r="C279" s="484"/>
      <c r="D279" s="1"/>
      <c r="E279" s="1"/>
      <c r="F279" s="744"/>
      <c r="G279" s="1"/>
      <c r="H279" s="1"/>
      <c r="I279" s="484"/>
      <c r="J279" s="484"/>
      <c r="K279" s="484"/>
      <c r="L279" s="484"/>
      <c r="M279" s="484"/>
      <c r="N279" s="1277"/>
      <c r="O279" s="484"/>
      <c r="P279" s="484"/>
      <c r="Q279" s="484"/>
      <c r="R279" s="484"/>
      <c r="S279" s="484"/>
      <c r="T279" s="484"/>
      <c r="U279" s="484"/>
      <c r="V279" s="484"/>
      <c r="W279" s="484"/>
      <c r="X279" s="484"/>
      <c r="Y279" s="484"/>
      <c r="Z279" s="484"/>
      <c r="AA279" s="484"/>
      <c r="AB279" s="484"/>
      <c r="AC279" s="484"/>
      <c r="AD279" s="484"/>
      <c r="AE279" s="484"/>
      <c r="AF279" s="484"/>
      <c r="AG279" s="484"/>
      <c r="AH279" s="484"/>
      <c r="AI279" s="484"/>
      <c r="AJ279" s="484"/>
    </row>
    <row r="280" spans="1:36" x14ac:dyDescent="0.35">
      <c r="A280" s="484"/>
      <c r="B280" s="484"/>
      <c r="C280" s="484"/>
      <c r="D280" s="1"/>
      <c r="E280" s="1"/>
      <c r="F280" s="744"/>
      <c r="G280" s="1"/>
      <c r="H280" s="1"/>
      <c r="I280" s="484"/>
      <c r="J280" s="484"/>
      <c r="K280" s="484"/>
      <c r="L280" s="484"/>
      <c r="M280" s="484"/>
      <c r="N280" s="1277"/>
      <c r="O280" s="484"/>
      <c r="P280" s="484"/>
      <c r="Q280" s="484"/>
      <c r="R280" s="484"/>
      <c r="S280" s="484"/>
      <c r="T280" s="484"/>
      <c r="U280" s="484"/>
      <c r="V280" s="484"/>
      <c r="W280" s="484"/>
      <c r="X280" s="484"/>
      <c r="Y280" s="484"/>
      <c r="Z280" s="484"/>
      <c r="AA280" s="484"/>
      <c r="AB280" s="484"/>
      <c r="AC280" s="484"/>
      <c r="AD280" s="484"/>
      <c r="AE280" s="484"/>
      <c r="AF280" s="484"/>
      <c r="AG280" s="484"/>
      <c r="AH280" s="484"/>
      <c r="AI280" s="484"/>
      <c r="AJ280" s="484"/>
    </row>
    <row r="281" spans="1:36" x14ac:dyDescent="0.35">
      <c r="A281" s="484"/>
      <c r="B281" s="484"/>
      <c r="C281" s="484"/>
      <c r="D281" s="1"/>
      <c r="E281" s="1"/>
      <c r="F281" s="744"/>
      <c r="G281" s="1"/>
      <c r="H281" s="1"/>
      <c r="I281" s="484"/>
      <c r="J281" s="484"/>
      <c r="K281" s="484"/>
      <c r="L281" s="484"/>
      <c r="M281" s="484"/>
      <c r="N281" s="1277"/>
      <c r="O281" s="484"/>
      <c r="P281" s="484"/>
      <c r="Q281" s="484"/>
      <c r="R281" s="484"/>
      <c r="S281" s="484"/>
      <c r="T281" s="484"/>
      <c r="U281" s="484"/>
      <c r="V281" s="484"/>
      <c r="W281" s="484"/>
      <c r="X281" s="484"/>
      <c r="Y281" s="484"/>
      <c r="Z281" s="484"/>
      <c r="AA281" s="484"/>
      <c r="AB281" s="484"/>
      <c r="AC281" s="484"/>
      <c r="AD281" s="484"/>
      <c r="AE281" s="484"/>
      <c r="AF281" s="484"/>
      <c r="AG281" s="484"/>
      <c r="AH281" s="484"/>
      <c r="AI281" s="484"/>
      <c r="AJ281" s="484"/>
    </row>
    <row r="282" spans="1:36" x14ac:dyDescent="0.35">
      <c r="A282" s="484"/>
      <c r="B282" s="484"/>
      <c r="C282" s="484"/>
      <c r="D282" s="1"/>
      <c r="E282" s="1"/>
      <c r="F282" s="744"/>
      <c r="G282" s="1"/>
      <c r="H282" s="1"/>
      <c r="I282" s="484"/>
      <c r="J282" s="484"/>
      <c r="K282" s="484"/>
      <c r="L282" s="484"/>
      <c r="M282" s="484"/>
      <c r="N282" s="1277"/>
      <c r="O282" s="484"/>
      <c r="P282" s="484"/>
      <c r="Q282" s="484"/>
      <c r="R282" s="484"/>
      <c r="S282" s="484"/>
      <c r="T282" s="484"/>
      <c r="U282" s="484"/>
      <c r="V282" s="484"/>
      <c r="W282" s="484"/>
      <c r="X282" s="484"/>
      <c r="Y282" s="484"/>
      <c r="Z282" s="484"/>
      <c r="AA282" s="484"/>
      <c r="AB282" s="484"/>
      <c r="AC282" s="484"/>
      <c r="AD282" s="484"/>
      <c r="AE282" s="484"/>
      <c r="AF282" s="484"/>
      <c r="AG282" s="484"/>
      <c r="AH282" s="484"/>
      <c r="AI282" s="484"/>
      <c r="AJ282" s="484"/>
    </row>
    <row r="283" spans="1:36" x14ac:dyDescent="0.35">
      <c r="A283" s="484"/>
      <c r="B283" s="484"/>
      <c r="C283" s="484"/>
      <c r="D283" s="1"/>
      <c r="E283" s="1"/>
      <c r="F283" s="744"/>
      <c r="G283" s="1"/>
      <c r="H283" s="1"/>
      <c r="I283" s="484"/>
      <c r="J283" s="484"/>
      <c r="K283" s="484"/>
      <c r="L283" s="484"/>
      <c r="M283" s="484"/>
      <c r="N283" s="1277"/>
      <c r="O283" s="484"/>
      <c r="P283" s="484"/>
      <c r="Q283" s="484"/>
      <c r="R283" s="484"/>
      <c r="S283" s="484"/>
      <c r="T283" s="484"/>
      <c r="U283" s="484"/>
      <c r="V283" s="484"/>
      <c r="W283" s="484"/>
      <c r="X283" s="484"/>
      <c r="Y283" s="484"/>
      <c r="Z283" s="484"/>
      <c r="AA283" s="484"/>
      <c r="AB283" s="484"/>
      <c r="AC283" s="484"/>
      <c r="AD283" s="484"/>
      <c r="AE283" s="484"/>
      <c r="AF283" s="484"/>
      <c r="AG283" s="484"/>
      <c r="AH283" s="484"/>
      <c r="AI283" s="484"/>
      <c r="AJ283" s="484"/>
    </row>
    <row r="284" spans="1:36" x14ac:dyDescent="0.35">
      <c r="A284" s="484"/>
      <c r="B284" s="484"/>
      <c r="C284" s="484"/>
      <c r="D284" s="1"/>
      <c r="E284" s="1"/>
      <c r="F284" s="744"/>
      <c r="G284" s="1"/>
      <c r="H284" s="1"/>
      <c r="I284" s="484"/>
      <c r="J284" s="484"/>
      <c r="K284" s="484"/>
      <c r="L284" s="484"/>
      <c r="M284" s="484"/>
      <c r="N284" s="1277"/>
      <c r="O284" s="484"/>
      <c r="P284" s="484"/>
      <c r="Q284" s="484"/>
      <c r="R284" s="484"/>
      <c r="S284" s="484"/>
      <c r="T284" s="484"/>
      <c r="U284" s="484"/>
      <c r="V284" s="484"/>
      <c r="W284" s="484"/>
      <c r="X284" s="484"/>
      <c r="Y284" s="484"/>
      <c r="Z284" s="484"/>
      <c r="AA284" s="484"/>
      <c r="AB284" s="484"/>
      <c r="AC284" s="484"/>
      <c r="AD284" s="484"/>
      <c r="AE284" s="484"/>
      <c r="AF284" s="484"/>
      <c r="AG284" s="484"/>
      <c r="AH284" s="484"/>
      <c r="AI284" s="484"/>
      <c r="AJ284" s="484"/>
    </row>
    <row r="285" spans="1:36" x14ac:dyDescent="0.35">
      <c r="A285" s="484"/>
      <c r="B285" s="484"/>
      <c r="C285" s="484"/>
      <c r="D285" s="1"/>
      <c r="E285" s="1"/>
      <c r="F285" s="744"/>
      <c r="G285" s="1"/>
      <c r="H285" s="1"/>
      <c r="I285" s="484"/>
      <c r="J285" s="484"/>
      <c r="K285" s="484"/>
      <c r="L285" s="484"/>
      <c r="M285" s="484"/>
      <c r="N285" s="1277"/>
      <c r="O285" s="484"/>
      <c r="P285" s="484"/>
      <c r="Q285" s="484"/>
      <c r="R285" s="484"/>
      <c r="S285" s="484"/>
      <c r="T285" s="484"/>
      <c r="U285" s="484"/>
      <c r="V285" s="484"/>
      <c r="W285" s="484"/>
      <c r="X285" s="484"/>
      <c r="Y285" s="484"/>
      <c r="Z285" s="484"/>
      <c r="AA285" s="484"/>
      <c r="AB285" s="484"/>
      <c r="AC285" s="484"/>
      <c r="AD285" s="484"/>
      <c r="AE285" s="484"/>
      <c r="AF285" s="484"/>
      <c r="AG285" s="484"/>
      <c r="AH285" s="484"/>
      <c r="AI285" s="484"/>
      <c r="AJ285" s="484"/>
    </row>
    <row r="286" spans="1:36" x14ac:dyDescent="0.35">
      <c r="A286" s="484"/>
      <c r="B286" s="484"/>
      <c r="C286" s="484"/>
      <c r="D286" s="1"/>
      <c r="E286" s="1"/>
      <c r="F286" s="744"/>
      <c r="G286" s="1"/>
      <c r="H286" s="1"/>
      <c r="I286" s="484"/>
      <c r="J286" s="484"/>
      <c r="K286" s="484"/>
      <c r="L286" s="484"/>
      <c r="M286" s="484"/>
      <c r="N286" s="1277"/>
      <c r="O286" s="484"/>
      <c r="P286" s="484"/>
      <c r="Q286" s="484"/>
      <c r="R286" s="484"/>
      <c r="S286" s="484"/>
      <c r="T286" s="484"/>
      <c r="U286" s="484"/>
      <c r="V286" s="484"/>
      <c r="W286" s="484"/>
      <c r="X286" s="484"/>
      <c r="Y286" s="484"/>
      <c r="Z286" s="484"/>
      <c r="AA286" s="484"/>
      <c r="AB286" s="484"/>
      <c r="AC286" s="484"/>
      <c r="AD286" s="484"/>
      <c r="AE286" s="484"/>
      <c r="AF286" s="484"/>
      <c r="AG286" s="484"/>
      <c r="AH286" s="484"/>
      <c r="AI286" s="484"/>
      <c r="AJ286" s="484"/>
    </row>
    <row r="287" spans="1:36" x14ac:dyDescent="0.35">
      <c r="A287" s="484"/>
      <c r="B287" s="484"/>
      <c r="C287" s="484"/>
      <c r="D287" s="1"/>
      <c r="E287" s="1"/>
      <c r="F287" s="744"/>
      <c r="G287" s="1"/>
      <c r="H287" s="1"/>
      <c r="I287" s="484"/>
      <c r="J287" s="484"/>
      <c r="K287" s="484"/>
      <c r="L287" s="484"/>
      <c r="M287" s="484"/>
      <c r="N287" s="1277"/>
      <c r="O287" s="484"/>
      <c r="P287" s="484"/>
      <c r="Q287" s="484"/>
      <c r="R287" s="484"/>
      <c r="S287" s="484"/>
      <c r="T287" s="484"/>
      <c r="U287" s="484"/>
      <c r="V287" s="484"/>
      <c r="W287" s="484"/>
      <c r="X287" s="484"/>
      <c r="Y287" s="484"/>
      <c r="Z287" s="484"/>
      <c r="AA287" s="484"/>
      <c r="AB287" s="484"/>
      <c r="AC287" s="484"/>
      <c r="AD287" s="484"/>
      <c r="AE287" s="484"/>
      <c r="AF287" s="484"/>
      <c r="AG287" s="484"/>
      <c r="AH287" s="484"/>
      <c r="AI287" s="484"/>
      <c r="AJ287" s="484"/>
    </row>
    <row r="288" spans="1:36" x14ac:dyDescent="0.35">
      <c r="A288" s="484"/>
      <c r="B288" s="484"/>
      <c r="C288" s="484"/>
      <c r="D288" s="1"/>
      <c r="E288" s="1"/>
      <c r="F288" s="744"/>
      <c r="G288" s="1"/>
      <c r="H288" s="1"/>
      <c r="I288" s="484"/>
      <c r="J288" s="484"/>
      <c r="K288" s="484"/>
      <c r="L288" s="484"/>
      <c r="M288" s="484"/>
      <c r="N288" s="1277"/>
      <c r="O288" s="484"/>
      <c r="P288" s="484"/>
      <c r="Q288" s="484"/>
      <c r="R288" s="484"/>
      <c r="S288" s="484"/>
      <c r="T288" s="484"/>
      <c r="U288" s="484"/>
      <c r="V288" s="484"/>
      <c r="W288" s="484"/>
      <c r="X288" s="484"/>
      <c r="Y288" s="484"/>
      <c r="Z288" s="484"/>
      <c r="AA288" s="484"/>
      <c r="AB288" s="484"/>
      <c r="AC288" s="484"/>
      <c r="AD288" s="484"/>
      <c r="AE288" s="484"/>
      <c r="AF288" s="484"/>
      <c r="AG288" s="484"/>
      <c r="AH288" s="484"/>
      <c r="AI288" s="484"/>
      <c r="AJ288" s="484"/>
    </row>
    <row r="289" spans="1:36" x14ac:dyDescent="0.35">
      <c r="A289" s="484"/>
      <c r="B289" s="484"/>
      <c r="C289" s="484"/>
      <c r="D289" s="1"/>
      <c r="E289" s="1"/>
      <c r="F289" s="744"/>
      <c r="G289" s="1"/>
      <c r="H289" s="1"/>
      <c r="I289" s="484"/>
      <c r="J289" s="484"/>
      <c r="K289" s="484"/>
      <c r="L289" s="484"/>
      <c r="M289" s="484"/>
      <c r="N289" s="1277"/>
      <c r="O289" s="484"/>
      <c r="P289" s="484"/>
      <c r="Q289" s="484"/>
      <c r="R289" s="484"/>
      <c r="S289" s="484"/>
      <c r="T289" s="484"/>
      <c r="U289" s="484"/>
      <c r="V289" s="484"/>
      <c r="W289" s="484"/>
      <c r="X289" s="484"/>
      <c r="Y289" s="484"/>
      <c r="Z289" s="484"/>
      <c r="AA289" s="484"/>
      <c r="AB289" s="484"/>
      <c r="AC289" s="484"/>
      <c r="AD289" s="484"/>
      <c r="AE289" s="484"/>
      <c r="AF289" s="484"/>
      <c r="AG289" s="484"/>
      <c r="AH289" s="484"/>
      <c r="AI289" s="484"/>
      <c r="AJ289" s="484"/>
    </row>
    <row r="290" spans="1:36" x14ac:dyDescent="0.35">
      <c r="A290" s="484"/>
      <c r="B290" s="484"/>
      <c r="C290" s="484"/>
      <c r="D290" s="1"/>
      <c r="E290" s="1"/>
      <c r="F290" s="744"/>
      <c r="G290" s="1"/>
      <c r="H290" s="1"/>
      <c r="I290" s="484"/>
      <c r="J290" s="484"/>
      <c r="K290" s="484"/>
      <c r="L290" s="484"/>
      <c r="M290" s="484"/>
      <c r="N290" s="1277"/>
      <c r="O290" s="484"/>
      <c r="P290" s="484"/>
      <c r="Q290" s="484"/>
      <c r="R290" s="484"/>
      <c r="S290" s="484"/>
      <c r="T290" s="484"/>
      <c r="U290" s="484"/>
      <c r="V290" s="484"/>
      <c r="W290" s="484"/>
      <c r="X290" s="484"/>
      <c r="Y290" s="484"/>
      <c r="Z290" s="484"/>
      <c r="AA290" s="484"/>
      <c r="AB290" s="484"/>
      <c r="AC290" s="484"/>
      <c r="AD290" s="484"/>
      <c r="AE290" s="484"/>
      <c r="AF290" s="484"/>
      <c r="AG290" s="484"/>
      <c r="AH290" s="484"/>
      <c r="AI290" s="484"/>
      <c r="AJ290" s="484"/>
    </row>
    <row r="291" spans="1:36" x14ac:dyDescent="0.35">
      <c r="A291" s="484"/>
      <c r="B291" s="484"/>
      <c r="C291" s="484"/>
      <c r="D291" s="1"/>
      <c r="E291" s="1"/>
      <c r="F291" s="744"/>
      <c r="G291" s="1"/>
      <c r="H291" s="1"/>
      <c r="I291" s="484"/>
      <c r="J291" s="484"/>
      <c r="K291" s="484"/>
      <c r="L291" s="484"/>
      <c r="M291" s="484"/>
      <c r="N291" s="1277"/>
      <c r="O291" s="484"/>
      <c r="P291" s="484"/>
      <c r="Q291" s="484"/>
      <c r="R291" s="484"/>
      <c r="S291" s="484"/>
      <c r="T291" s="484"/>
      <c r="U291" s="484"/>
      <c r="V291" s="484"/>
      <c r="W291" s="484"/>
      <c r="X291" s="484"/>
      <c r="Y291" s="484"/>
      <c r="Z291" s="484"/>
      <c r="AA291" s="484"/>
      <c r="AB291" s="484"/>
      <c r="AC291" s="484"/>
      <c r="AD291" s="484"/>
      <c r="AE291" s="484"/>
      <c r="AF291" s="484"/>
      <c r="AG291" s="484"/>
      <c r="AH291" s="484"/>
      <c r="AI291" s="484"/>
      <c r="AJ291" s="484"/>
    </row>
    <row r="292" spans="1:36" x14ac:dyDescent="0.35">
      <c r="A292" s="484"/>
      <c r="B292" s="484"/>
      <c r="C292" s="484"/>
      <c r="D292" s="1"/>
      <c r="E292" s="1"/>
      <c r="F292" s="744"/>
      <c r="G292" s="1"/>
      <c r="H292" s="1"/>
      <c r="I292" s="484"/>
      <c r="J292" s="484"/>
      <c r="K292" s="484"/>
      <c r="L292" s="484"/>
      <c r="M292" s="484"/>
      <c r="N292" s="1277"/>
      <c r="O292" s="484"/>
      <c r="P292" s="484"/>
      <c r="Q292" s="484"/>
      <c r="R292" s="484"/>
      <c r="S292" s="484"/>
      <c r="T292" s="484"/>
      <c r="U292" s="484"/>
      <c r="V292" s="484"/>
      <c r="W292" s="484"/>
      <c r="X292" s="484"/>
      <c r="Y292" s="484"/>
      <c r="Z292" s="484"/>
      <c r="AA292" s="484"/>
      <c r="AB292" s="484"/>
      <c r="AC292" s="484"/>
      <c r="AD292" s="484"/>
      <c r="AE292" s="484"/>
      <c r="AF292" s="484"/>
      <c r="AG292" s="484"/>
      <c r="AH292" s="484"/>
      <c r="AI292" s="484"/>
      <c r="AJ292" s="484"/>
    </row>
    <row r="293" spans="1:36" x14ac:dyDescent="0.35">
      <c r="A293" s="484"/>
      <c r="B293" s="484"/>
      <c r="C293" s="484"/>
      <c r="D293" s="1"/>
      <c r="I293" s="484"/>
      <c r="J293" s="484"/>
      <c r="K293" s="484"/>
      <c r="L293" s="484"/>
      <c r="M293" s="484"/>
      <c r="N293" s="1277"/>
      <c r="O293" s="484"/>
      <c r="P293" s="484"/>
      <c r="Q293" s="484"/>
      <c r="R293" s="484"/>
      <c r="S293" s="484"/>
      <c r="T293" s="484"/>
      <c r="U293" s="484"/>
      <c r="V293" s="484"/>
      <c r="W293" s="484"/>
      <c r="X293" s="484"/>
      <c r="Y293" s="484"/>
      <c r="Z293" s="484"/>
      <c r="AA293" s="484"/>
      <c r="AB293" s="484"/>
      <c r="AC293" s="484"/>
      <c r="AD293" s="484"/>
      <c r="AE293" s="484"/>
      <c r="AF293" s="484"/>
      <c r="AG293" s="484"/>
      <c r="AH293" s="484"/>
      <c r="AI293" s="484"/>
      <c r="AJ293" s="484"/>
    </row>
    <row r="294" spans="1:36" x14ac:dyDescent="0.35">
      <c r="A294" s="484"/>
      <c r="B294" s="484"/>
      <c r="C294" s="484"/>
      <c r="D294" s="1"/>
      <c r="I294" s="484"/>
      <c r="J294" s="484"/>
      <c r="K294" s="484"/>
      <c r="L294" s="484"/>
      <c r="M294" s="484"/>
      <c r="N294" s="1277"/>
      <c r="O294" s="484"/>
      <c r="P294" s="484"/>
      <c r="Q294" s="484"/>
      <c r="R294" s="484"/>
      <c r="S294" s="484"/>
      <c r="T294" s="484"/>
      <c r="U294" s="484"/>
      <c r="V294" s="484"/>
      <c r="W294" s="484"/>
      <c r="X294" s="484"/>
      <c r="Y294" s="484"/>
      <c r="Z294" s="484"/>
      <c r="AA294" s="484"/>
      <c r="AB294" s="484"/>
      <c r="AC294" s="484"/>
      <c r="AD294" s="484"/>
      <c r="AE294" s="484"/>
      <c r="AF294" s="484"/>
      <c r="AG294" s="484"/>
      <c r="AH294" s="484"/>
      <c r="AI294" s="484"/>
      <c r="AJ294" s="484"/>
    </row>
    <row r="295" spans="1:36" x14ac:dyDescent="0.35">
      <c r="A295" s="484"/>
      <c r="B295" s="484"/>
      <c r="C295" s="484"/>
      <c r="D295" s="1"/>
      <c r="I295" s="484"/>
      <c r="J295" s="484"/>
      <c r="K295" s="484"/>
      <c r="L295" s="484"/>
      <c r="M295" s="484"/>
      <c r="N295" s="1277"/>
      <c r="O295" s="484"/>
      <c r="P295" s="484"/>
      <c r="Q295" s="484"/>
      <c r="R295" s="484"/>
      <c r="S295" s="484"/>
      <c r="T295" s="484"/>
      <c r="U295" s="484"/>
      <c r="V295" s="484"/>
      <c r="W295" s="484"/>
      <c r="X295" s="484"/>
      <c r="Y295" s="484"/>
      <c r="Z295" s="484"/>
      <c r="AA295" s="484"/>
      <c r="AB295" s="484"/>
      <c r="AC295" s="484"/>
      <c r="AD295" s="484"/>
      <c r="AE295" s="484"/>
      <c r="AF295" s="484"/>
      <c r="AG295" s="484"/>
      <c r="AH295" s="484"/>
      <c r="AI295" s="484"/>
      <c r="AJ295" s="484"/>
    </row>
    <row r="296" spans="1:36" x14ac:dyDescent="0.35">
      <c r="A296" s="484"/>
      <c r="B296" s="484"/>
      <c r="C296" s="484"/>
      <c r="D296" s="1"/>
      <c r="I296" s="484"/>
      <c r="J296" s="484"/>
      <c r="K296" s="484"/>
      <c r="L296" s="484"/>
      <c r="M296" s="484"/>
      <c r="N296" s="1277"/>
      <c r="O296" s="484"/>
      <c r="P296" s="484"/>
      <c r="Q296" s="484"/>
      <c r="R296" s="484"/>
      <c r="S296" s="484"/>
      <c r="T296" s="484"/>
      <c r="U296" s="484"/>
      <c r="V296" s="484"/>
      <c r="W296" s="484"/>
      <c r="X296" s="484"/>
      <c r="Y296" s="484"/>
      <c r="Z296" s="484"/>
      <c r="AA296" s="484"/>
      <c r="AB296" s="484"/>
      <c r="AC296" s="484"/>
      <c r="AD296" s="484"/>
      <c r="AE296" s="484"/>
      <c r="AF296" s="484"/>
      <c r="AG296" s="484"/>
      <c r="AH296" s="484"/>
      <c r="AI296" s="484"/>
      <c r="AJ296" s="484"/>
    </row>
  </sheetData>
  <sheetProtection algorithmName="SHA-512" hashValue="w2035RJgQaSagFz+SZPk3Byx69YfSXrryLvWcykhPlcvp7D7Ru2HcevW1+Zlr6J4y6o3Qxx9rI3U09FMQrE/Ww==" saltValue="Tt2iIwsEnOoYJ66X4nKFxQ==" spinCount="100000" sheet="1" objects="1" scenarios="1"/>
  <mergeCells count="25">
    <mergeCell ref="P44:R44"/>
    <mergeCell ref="P45:R46"/>
    <mergeCell ref="P49:R49"/>
    <mergeCell ref="B4:B21"/>
    <mergeCell ref="B23:B41"/>
    <mergeCell ref="B43:B73"/>
    <mergeCell ref="P23:R23"/>
    <mergeCell ref="K43:N43"/>
    <mergeCell ref="P48:R48"/>
    <mergeCell ref="D4:H4"/>
    <mergeCell ref="D23:H23"/>
    <mergeCell ref="D43:H43"/>
    <mergeCell ref="D75:H75"/>
    <mergeCell ref="K51:N51"/>
    <mergeCell ref="B103:B111"/>
    <mergeCell ref="D103:H103"/>
    <mergeCell ref="E105:G110"/>
    <mergeCell ref="J81:N81"/>
    <mergeCell ref="J76:N76"/>
    <mergeCell ref="B75:B101"/>
    <mergeCell ref="J75:N75"/>
    <mergeCell ref="J77:N77"/>
    <mergeCell ref="J79:N79"/>
    <mergeCell ref="J80:N80"/>
    <mergeCell ref="J78:N78"/>
  </mergeCells>
  <dataValidations xWindow="280" yWindow="545" count="7">
    <dataValidation type="list" allowBlank="1" showErrorMessage="1" sqref="F71 F50 F53:F57 F9 F90 F37:F38 F14 F61 F31:F34 F93:F100 F26:F27" xr:uid="{00000000-0002-0000-0700-000000000000}">
      <formula1>"Yes,No"</formula1>
    </dataValidation>
    <dataValidation type="list" allowBlank="1" showInputMessage="1" showErrorMessage="1" sqref="F46" xr:uid="{0CC31D92-3A1F-446F-AD8F-35D04C6D25D3}">
      <formula1>"Less than MERV 9, MERV 9–11, MERV 12–14, MERV 15–16, HEPA, ULPA"</formula1>
    </dataValidation>
    <dataValidation type="list" allowBlank="1" showErrorMessage="1" sqref="F45" xr:uid="{1DCB85BC-E404-46B4-AB39-38911D0294FC}">
      <formula1>"Yes,No,N/A"</formula1>
    </dataValidation>
    <dataValidation type="list" allowBlank="1" showInputMessage="1" showErrorMessage="1" sqref="F64" xr:uid="{B3B56F20-0984-4D2A-A40C-F60AEDA7D737}">
      <formula1>"Outdoor,Absolute"</formula1>
    </dataValidation>
    <dataValidation allowBlank="1" showInputMessage="1" showErrorMessage="1" prompt="Lighting controls, such as dimmers, task lights, spot lights, etc., enable occupants to adjust lighting to suit their individual and group tasks/preferences. A minimum of three lighting levels or scenes (on, off, midlevel) is required." sqref="E36" xr:uid="{4278EFB7-9939-4CAA-88DA-449B0DDA6272}"/>
    <dataValidation allowBlank="1" showInputMessage="1" showErrorMessage="1" prompt="ASHRAE 62.1-2010 is the minimum standard of performance, answer yes if the building conforms to a more current ASHRAE Standard 62.1 or another more stringent code. Use the nonconformity tab to list the alternative standard met. _x000a_" sqref="E27" xr:uid="{B54667D6-7C28-4336-8FB9-07533E01B83F}"/>
    <dataValidation type="decimal" allowBlank="1" showInputMessage="1" showErrorMessage="1" error="Numerical input as a decimal or whole number only." sqref="F12:F13 F19 F78:F86" xr:uid="{EB1EAB95-8DE8-4B3E-8052-3BE860BB115E}">
      <formula1>0</formula1>
      <formula2>1000000000</formula2>
    </dataValidation>
  </dataValidations>
  <hyperlinks>
    <hyperlink ref="P45:R46" r:id="rId1" display="Table 1. Maximum concentration levels, by contaminant and testing method" xr:uid="{5F3FB2CA-A975-4B23-98B2-4FC8155A4ECC}"/>
    <hyperlink ref="P49:R49" r:id="rId2" display="ASHRAE 62.1–2010, Appendix C" xr:uid="{18E501E4-F952-44E6-A94B-AC56A4A1FB17}"/>
    <hyperlink ref="P26:R26" r:id="rId3" display="Environmental Quality Space Type Matrix" xr:uid="{A0B21324-2774-43ED-8285-F22833BBC3C6}"/>
    <hyperlink ref="P23:R23" r:id="rId4" display="ASHRAE 62.1–2010, Appendix C" xr:uid="{35C448FF-FE28-4A20-98CE-E22F89F8020C}"/>
  </hyperlinks>
  <pageMargins left="0.7" right="0.7" top="0.75" bottom="0.75" header="0" footer="0"/>
  <pageSetup orientation="landscape" r:id="rId5"/>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outlinePr summaryBelow="0" summaryRight="0"/>
  </sheetPr>
  <dimension ref="A1:AM309"/>
  <sheetViews>
    <sheetView workbookViewId="0">
      <selection activeCell="F50" sqref="F50"/>
    </sheetView>
  </sheetViews>
  <sheetFormatPr defaultColWidth="14.453125" defaultRowHeight="14.5" x14ac:dyDescent="0.35"/>
  <cols>
    <col min="1" max="1" width="4.08984375" customWidth="1"/>
    <col min="2" max="2" width="34.6328125" customWidth="1"/>
    <col min="3" max="4" width="3.36328125" customWidth="1"/>
    <col min="5" max="5" width="46.6328125" customWidth="1"/>
    <col min="6" max="6" width="30.6328125" style="688" customWidth="1"/>
    <col min="7" max="7" width="12.6328125" customWidth="1"/>
    <col min="8" max="9" width="3.36328125" customWidth="1"/>
    <col min="10" max="10" width="29.453125" customWidth="1"/>
    <col min="11" max="11" width="6.6328125" hidden="1" customWidth="1"/>
    <col min="12" max="12" width="5.6328125" customWidth="1"/>
    <col min="13" max="13" width="6.6328125" hidden="1" customWidth="1"/>
    <col min="14" max="14" width="5.6328125" customWidth="1"/>
    <col min="15" max="15" width="6.6328125" hidden="1" customWidth="1"/>
    <col min="16" max="16" width="5.6328125" customWidth="1"/>
    <col min="17" max="17" width="2.54296875" customWidth="1"/>
    <col min="18" max="19" width="19.54296875" customWidth="1"/>
    <col min="20" max="20" width="2.6328125" customWidth="1"/>
    <col min="21" max="21" width="14.453125" style="1309" hidden="1" customWidth="1"/>
  </cols>
  <sheetData>
    <row r="1" spans="1:37" ht="21" x14ac:dyDescent="0.35">
      <c r="A1" s="343"/>
      <c r="B1" s="343" t="s">
        <v>885</v>
      </c>
      <c r="C1" s="343"/>
      <c r="D1" s="343"/>
      <c r="E1" s="343"/>
      <c r="F1" s="1276"/>
      <c r="G1" s="1080"/>
      <c r="H1" s="1080"/>
      <c r="I1" s="1080"/>
      <c r="J1" s="1080"/>
      <c r="K1" s="1080"/>
      <c r="L1" s="1080"/>
      <c r="M1" s="1080"/>
      <c r="N1" s="1080"/>
      <c r="O1" s="1080"/>
      <c r="P1" s="1080"/>
      <c r="Q1" s="1080"/>
      <c r="R1" s="1080"/>
      <c r="S1" s="1080"/>
    </row>
    <row r="2" spans="1:37" x14ac:dyDescent="0.35">
      <c r="A2" s="1083"/>
      <c r="B2" s="1083"/>
      <c r="C2" s="1083"/>
      <c r="D2" s="1083"/>
      <c r="E2" s="1083"/>
      <c r="F2" s="1310"/>
      <c r="G2" s="1083"/>
      <c r="H2" s="1083"/>
      <c r="I2" s="1083"/>
      <c r="J2" s="1083"/>
      <c r="K2" s="1083"/>
      <c r="L2" s="1083"/>
      <c r="M2" s="1083"/>
      <c r="N2" s="1083"/>
      <c r="O2" s="1083"/>
      <c r="P2" s="1083"/>
      <c r="Q2" s="1083"/>
      <c r="R2" s="1083"/>
      <c r="S2" s="1083"/>
      <c r="T2" s="1083"/>
      <c r="U2" s="1311"/>
      <c r="V2" s="1083"/>
      <c r="W2" s="1083"/>
      <c r="X2" s="1083"/>
      <c r="Y2" s="1083"/>
      <c r="Z2" s="1083"/>
      <c r="AA2" s="1083"/>
      <c r="AB2" s="1083"/>
      <c r="AC2" s="1083"/>
      <c r="AD2" s="1083"/>
      <c r="AE2" s="1083"/>
      <c r="AF2" s="1083"/>
      <c r="AG2" s="1083"/>
      <c r="AH2" s="1083"/>
      <c r="AI2" s="1083"/>
      <c r="AJ2" s="1083"/>
      <c r="AK2" s="1083"/>
    </row>
    <row r="3" spans="1:37" s="694" customFormat="1" ht="15" thickBot="1" x14ac:dyDescent="0.4">
      <c r="A3" s="693"/>
      <c r="B3" s="493" t="s">
        <v>71</v>
      </c>
      <c r="C3" s="693"/>
      <c r="D3" s="693"/>
      <c r="E3" s="1588" t="s">
        <v>683</v>
      </c>
      <c r="F3" s="1778"/>
      <c r="G3" s="1778"/>
      <c r="H3" s="493"/>
      <c r="I3" s="493"/>
      <c r="J3" s="493" t="s">
        <v>118</v>
      </c>
      <c r="K3" s="493"/>
      <c r="L3" s="493"/>
      <c r="M3" s="493"/>
      <c r="N3" s="493"/>
      <c r="O3" s="493"/>
      <c r="P3" s="493"/>
      <c r="Q3" s="493"/>
      <c r="R3" s="493" t="s">
        <v>119</v>
      </c>
      <c r="S3" s="693"/>
      <c r="T3" s="693"/>
      <c r="U3" s="1312"/>
      <c r="V3" s="693"/>
      <c r="W3" s="693"/>
      <c r="X3" s="693"/>
      <c r="Y3" s="693"/>
      <c r="Z3" s="693"/>
      <c r="AA3" s="693"/>
      <c r="AB3" s="693"/>
      <c r="AC3" s="693"/>
      <c r="AD3" s="693"/>
      <c r="AE3" s="693"/>
      <c r="AF3" s="693"/>
      <c r="AG3" s="693"/>
      <c r="AH3" s="693"/>
      <c r="AI3" s="693"/>
      <c r="AJ3" s="693"/>
      <c r="AK3" s="693"/>
    </row>
    <row r="4" spans="1:37" s="752" customFormat="1" ht="14.4" customHeight="1" x14ac:dyDescent="0.3">
      <c r="A4" s="1"/>
      <c r="B4" s="753"/>
      <c r="C4" s="1"/>
      <c r="D4" s="1797" t="s">
        <v>777</v>
      </c>
      <c r="E4" s="1798"/>
      <c r="F4" s="1798"/>
      <c r="G4" s="1798"/>
      <c r="H4" s="1799"/>
      <c r="I4" s="1142"/>
      <c r="J4" s="1088"/>
      <c r="K4" s="1088"/>
      <c r="L4" s="1088"/>
      <c r="M4" s="1088"/>
      <c r="N4" s="1088"/>
      <c r="O4" s="1088"/>
      <c r="P4" s="1088"/>
      <c r="Q4" s="1142"/>
      <c r="R4" s="1088"/>
      <c r="S4" s="1088"/>
      <c r="T4" s="1"/>
      <c r="U4" s="446"/>
      <c r="V4" s="1"/>
      <c r="W4" s="1"/>
      <c r="X4" s="1"/>
      <c r="Y4" s="1"/>
      <c r="Z4" s="1"/>
      <c r="AA4" s="1"/>
      <c r="AB4" s="1"/>
      <c r="AC4" s="1"/>
      <c r="AD4" s="1"/>
      <c r="AE4" s="1"/>
      <c r="AF4" s="1"/>
      <c r="AG4" s="1"/>
      <c r="AH4" s="1"/>
      <c r="AI4" s="1"/>
      <c r="AJ4" s="1"/>
      <c r="AK4" s="1"/>
    </row>
    <row r="5" spans="1:37" s="743" customFormat="1" ht="13" x14ac:dyDescent="0.3">
      <c r="A5" s="1"/>
      <c r="B5" s="753"/>
      <c r="C5" s="1"/>
      <c r="D5" s="1089"/>
      <c r="E5" s="1300"/>
      <c r="F5" s="1301"/>
      <c r="G5" s="1300"/>
      <c r="H5" s="1313"/>
      <c r="I5" s="335"/>
      <c r="J5" s="1088"/>
      <c r="K5" s="1088"/>
      <c r="L5" s="1088"/>
      <c r="M5" s="1088"/>
      <c r="N5" s="1088"/>
      <c r="O5" s="1088"/>
      <c r="P5" s="1088"/>
      <c r="Q5" s="1142"/>
      <c r="R5" s="1088"/>
      <c r="S5" s="1088"/>
      <c r="T5" s="1"/>
      <c r="U5" s="446"/>
      <c r="V5" s="1"/>
      <c r="W5" s="1"/>
      <c r="X5" s="1"/>
      <c r="Y5" s="1"/>
      <c r="Z5" s="1"/>
      <c r="AA5" s="1"/>
      <c r="AB5" s="1"/>
      <c r="AC5" s="1"/>
      <c r="AD5" s="1"/>
      <c r="AE5" s="1"/>
      <c r="AF5" s="1"/>
      <c r="AG5" s="1"/>
      <c r="AH5" s="1"/>
      <c r="AI5" s="1"/>
      <c r="AJ5" s="1"/>
      <c r="AK5" s="1"/>
    </row>
    <row r="6" spans="1:37" s="743" customFormat="1" ht="13" x14ac:dyDescent="0.3">
      <c r="A6" s="1"/>
      <c r="B6" s="753"/>
      <c r="C6" s="1"/>
      <c r="D6" s="1091"/>
      <c r="E6" s="876"/>
      <c r="F6" s="1314" t="s">
        <v>252</v>
      </c>
      <c r="G6" s="1314" t="s">
        <v>251</v>
      </c>
      <c r="H6" s="1315"/>
      <c r="I6" s="28"/>
      <c r="J6" s="1088"/>
      <c r="K6" s="1088"/>
      <c r="L6" s="1088"/>
      <c r="M6" s="1088"/>
      <c r="N6" s="1088"/>
      <c r="O6" s="1088"/>
      <c r="P6" s="1088"/>
      <c r="Q6" s="1142"/>
      <c r="R6" s="1088"/>
      <c r="S6" s="1088"/>
      <c r="T6" s="1"/>
      <c r="U6" s="446"/>
      <c r="V6" s="1"/>
      <c r="W6" s="1"/>
      <c r="X6" s="1"/>
      <c r="Y6" s="1"/>
      <c r="Z6" s="1"/>
      <c r="AA6" s="1"/>
      <c r="AB6" s="1"/>
      <c r="AC6" s="1"/>
      <c r="AD6" s="1"/>
      <c r="AE6" s="1"/>
      <c r="AF6" s="1"/>
      <c r="AG6" s="1"/>
      <c r="AH6" s="1"/>
      <c r="AI6" s="1"/>
      <c r="AJ6" s="1"/>
      <c r="AK6" s="1"/>
    </row>
    <row r="7" spans="1:37" s="743" customFormat="1" ht="13" x14ac:dyDescent="0.3">
      <c r="A7" s="1"/>
      <c r="B7" s="753"/>
      <c r="C7" s="1"/>
      <c r="D7" s="1091"/>
      <c r="E7" s="1219" t="str">
        <f>'06 Energy'!L99</f>
        <v>Production Carbon Subtotal</v>
      </c>
      <c r="F7" s="1316">
        <f>Operational_Carbon_Annual_Total_Measured</f>
        <v>0</v>
      </c>
      <c r="G7" s="1316">
        <f>Operational_Carbon_Annual_Total_Predicted</f>
        <v>0</v>
      </c>
      <c r="H7" s="1315"/>
      <c r="I7" s="28"/>
      <c r="J7" s="1088"/>
      <c r="K7" s="1088"/>
      <c r="L7" s="1088"/>
      <c r="M7" s="1088"/>
      <c r="N7" s="1088"/>
      <c r="O7" s="1088"/>
      <c r="P7" s="1088"/>
      <c r="Q7" s="1142"/>
      <c r="R7" s="1088"/>
      <c r="S7" s="1088"/>
      <c r="T7" s="1"/>
      <c r="U7" s="446"/>
      <c r="V7" s="1"/>
      <c r="W7" s="1"/>
      <c r="X7" s="1"/>
      <c r="Y7" s="1"/>
      <c r="Z7" s="1"/>
      <c r="AA7" s="1"/>
      <c r="AB7" s="1"/>
      <c r="AC7" s="1"/>
      <c r="AD7" s="1"/>
      <c r="AE7" s="1"/>
      <c r="AF7" s="1"/>
      <c r="AG7" s="1"/>
      <c r="AH7" s="1"/>
      <c r="AI7" s="1"/>
      <c r="AJ7" s="1"/>
      <c r="AK7" s="1"/>
    </row>
    <row r="8" spans="1:37" s="743" customFormat="1" ht="13" x14ac:dyDescent="0.3">
      <c r="A8" s="1"/>
      <c r="B8" s="753"/>
      <c r="C8" s="1"/>
      <c r="D8" s="1091"/>
      <c r="E8" s="1219" t="str">
        <f>'06 Energy'!L93</f>
        <v>Gross Operational Carbon Intensity</v>
      </c>
      <c r="F8" s="1317">
        <f>Operational_Carbon_Intensity_Measured</f>
        <v>0</v>
      </c>
      <c r="G8" s="1317">
        <f>Operational_Carbon_Intensity_Predicted</f>
        <v>0</v>
      </c>
      <c r="H8" s="1315"/>
      <c r="I8" s="28"/>
      <c r="J8" s="1088"/>
      <c r="K8" s="1088"/>
      <c r="L8" s="1088"/>
      <c r="M8" s="1088"/>
      <c r="N8" s="1088"/>
      <c r="O8" s="1088"/>
      <c r="P8" s="1088"/>
      <c r="Q8" s="1142"/>
      <c r="R8" s="1088"/>
      <c r="S8" s="1088"/>
      <c r="T8" s="1"/>
      <c r="U8" s="446"/>
      <c r="V8" s="1"/>
      <c r="W8" s="1"/>
      <c r="X8" s="1"/>
      <c r="Y8" s="1"/>
      <c r="Z8" s="1"/>
      <c r="AA8" s="1"/>
      <c r="AB8" s="1"/>
      <c r="AC8" s="1"/>
      <c r="AD8" s="1"/>
      <c r="AE8" s="1"/>
      <c r="AF8" s="1"/>
      <c r="AG8" s="1"/>
      <c r="AH8" s="1"/>
      <c r="AI8" s="1"/>
      <c r="AJ8" s="1"/>
      <c r="AK8" s="1"/>
    </row>
    <row r="9" spans="1:37" s="743" customFormat="1" ht="13" x14ac:dyDescent="0.3">
      <c r="A9" s="1"/>
      <c r="B9" s="753"/>
      <c r="C9" s="1"/>
      <c r="D9" s="1091"/>
      <c r="E9" s="1219" t="str">
        <f>'06 Energy'!K103</f>
        <v>Percent Carbon Reduction from Benchmark</v>
      </c>
      <c r="F9" s="362">
        <f>Operational_Carbon_Percent_Reduction_Measured</f>
        <v>0</v>
      </c>
      <c r="G9" s="362">
        <f>Operational_Carbon_Percent_Reduction_Predicted</f>
        <v>0</v>
      </c>
      <c r="H9" s="1315"/>
      <c r="I9" s="28"/>
      <c r="J9" s="1088"/>
      <c r="K9" s="1088"/>
      <c r="L9" s="1088"/>
      <c r="M9" s="1088"/>
      <c r="N9" s="1088"/>
      <c r="O9" s="1088"/>
      <c r="P9" s="1088"/>
      <c r="Q9" s="1142"/>
      <c r="R9" s="1088"/>
      <c r="S9" s="1088"/>
      <c r="T9" s="1"/>
      <c r="U9" s="446"/>
      <c r="V9" s="1"/>
      <c r="W9" s="1"/>
      <c r="X9" s="1"/>
      <c r="Y9" s="1"/>
      <c r="Z9" s="1"/>
      <c r="AA9" s="1"/>
      <c r="AB9" s="1"/>
      <c r="AC9" s="1"/>
      <c r="AD9" s="1"/>
      <c r="AE9" s="1"/>
      <c r="AF9" s="1"/>
      <c r="AG9" s="1"/>
      <c r="AH9" s="1"/>
      <c r="AI9" s="1"/>
      <c r="AJ9" s="1"/>
      <c r="AK9" s="1"/>
    </row>
    <row r="10" spans="1:37" s="743" customFormat="1" ht="13" x14ac:dyDescent="0.3">
      <c r="A10" s="1"/>
      <c r="B10" s="1318"/>
      <c r="C10" s="1"/>
      <c r="D10" s="1094"/>
      <c r="E10" s="1319"/>
      <c r="F10" s="1314"/>
      <c r="G10" s="1319"/>
      <c r="H10" s="1320"/>
      <c r="I10" s="335"/>
      <c r="J10" s="1088"/>
      <c r="K10" s="1088"/>
      <c r="L10" s="1088"/>
      <c r="M10" s="1088"/>
      <c r="N10" s="1088"/>
      <c r="O10" s="1088"/>
      <c r="P10" s="1088"/>
      <c r="Q10" s="1142"/>
      <c r="R10" s="1088"/>
      <c r="S10" s="1088"/>
      <c r="T10" s="1"/>
      <c r="U10" s="446"/>
      <c r="V10" s="1"/>
      <c r="W10" s="1"/>
      <c r="X10" s="1"/>
      <c r="Y10" s="1"/>
      <c r="Z10" s="1"/>
      <c r="AA10" s="1"/>
      <c r="AB10" s="1"/>
      <c r="AC10" s="1"/>
      <c r="AD10" s="1"/>
      <c r="AE10" s="1"/>
      <c r="AF10" s="1"/>
      <c r="AG10" s="1"/>
      <c r="AH10" s="1"/>
      <c r="AI10" s="1"/>
      <c r="AJ10" s="1"/>
      <c r="AK10" s="1"/>
    </row>
    <row r="11" spans="1:37" s="743" customFormat="1" ht="13" x14ac:dyDescent="0.3">
      <c r="A11" s="1"/>
      <c r="B11" s="47"/>
      <c r="C11" s="47"/>
      <c r="D11" s="47"/>
      <c r="E11" s="47"/>
      <c r="F11" s="252"/>
      <c r="G11" s="47"/>
      <c r="H11" s="47"/>
      <c r="I11" s="335"/>
      <c r="J11" s="1"/>
      <c r="K11" s="1"/>
      <c r="L11" s="1"/>
      <c r="M11" s="1"/>
      <c r="N11" s="1"/>
      <c r="O11" s="1"/>
      <c r="P11" s="1"/>
      <c r="Q11" s="1"/>
      <c r="R11" s="1"/>
      <c r="S11" s="1"/>
      <c r="T11" s="1"/>
      <c r="U11" s="446"/>
      <c r="V11" s="1"/>
      <c r="W11" s="1"/>
      <c r="X11" s="1"/>
      <c r="Y11" s="1"/>
      <c r="Z11" s="1"/>
      <c r="AA11" s="1"/>
      <c r="AB11" s="1"/>
      <c r="AC11" s="1"/>
      <c r="AD11" s="1"/>
      <c r="AE11" s="1"/>
      <c r="AF11" s="1"/>
      <c r="AG11" s="1"/>
      <c r="AH11" s="1"/>
      <c r="AI11" s="1"/>
      <c r="AJ11" s="1"/>
      <c r="AK11" s="1"/>
    </row>
    <row r="12" spans="1:37" s="743" customFormat="1" ht="14.4" customHeight="1" x14ac:dyDescent="0.3">
      <c r="A12" s="1"/>
      <c r="B12" s="1622" t="s">
        <v>1192</v>
      </c>
      <c r="C12" s="1"/>
      <c r="D12" s="1636" t="s">
        <v>859</v>
      </c>
      <c r="E12" s="1637"/>
      <c r="F12" s="1637"/>
      <c r="G12" s="1637"/>
      <c r="H12" s="1638"/>
      <c r="I12" s="335"/>
      <c r="J12" s="1088" t="s">
        <v>444</v>
      </c>
      <c r="K12" s="1088"/>
      <c r="L12" s="1088"/>
      <c r="M12" s="1088"/>
      <c r="N12" s="1088"/>
      <c r="O12" s="1088"/>
      <c r="P12" s="1088"/>
      <c r="Q12" s="1"/>
      <c r="R12" s="1088"/>
      <c r="S12" s="1088"/>
      <c r="T12" s="1"/>
      <c r="U12" s="446"/>
      <c r="V12" s="1"/>
      <c r="W12" s="1"/>
      <c r="X12" s="1"/>
      <c r="Y12" s="1"/>
      <c r="Z12" s="1"/>
      <c r="AA12" s="1"/>
      <c r="AB12" s="1"/>
      <c r="AC12" s="1"/>
      <c r="AD12" s="1"/>
      <c r="AE12" s="1"/>
      <c r="AF12" s="1"/>
      <c r="AG12" s="1"/>
      <c r="AH12" s="1"/>
      <c r="AI12" s="1"/>
      <c r="AJ12" s="1"/>
      <c r="AK12" s="1"/>
    </row>
    <row r="13" spans="1:37" s="743" customFormat="1" ht="13" x14ac:dyDescent="0.3">
      <c r="A13" s="1"/>
      <c r="B13" s="1622"/>
      <c r="C13" s="1"/>
      <c r="D13" s="843"/>
      <c r="E13" s="809"/>
      <c r="F13" s="810"/>
      <c r="G13" s="809"/>
      <c r="H13" s="811"/>
      <c r="I13" s="1"/>
      <c r="J13" s="1088"/>
      <c r="K13" s="1088"/>
      <c r="L13" s="1088"/>
      <c r="M13" s="1088"/>
      <c r="N13" s="1088"/>
      <c r="O13" s="1088"/>
      <c r="P13" s="1088"/>
      <c r="Q13" s="1"/>
      <c r="R13" s="1088"/>
      <c r="S13" s="1088"/>
      <c r="T13" s="1"/>
      <c r="U13" s="446"/>
      <c r="V13" s="1"/>
      <c r="W13" s="1"/>
      <c r="X13" s="1"/>
      <c r="Y13" s="1"/>
      <c r="Z13" s="1"/>
      <c r="AA13" s="1"/>
      <c r="AB13" s="1"/>
      <c r="AC13" s="1"/>
      <c r="AD13" s="1"/>
      <c r="AE13" s="1"/>
      <c r="AF13" s="1"/>
      <c r="AG13" s="1"/>
      <c r="AH13" s="1"/>
      <c r="AI13" s="1"/>
      <c r="AJ13" s="1"/>
      <c r="AK13" s="1"/>
    </row>
    <row r="14" spans="1:37" s="743" customFormat="1" ht="13.5" thickBot="1" x14ac:dyDescent="0.35">
      <c r="A14" s="1"/>
      <c r="B14" s="1622"/>
      <c r="C14" s="1"/>
      <c r="D14" s="847"/>
      <c r="E14" s="344" t="s">
        <v>1165</v>
      </c>
      <c r="F14" s="361"/>
      <c r="G14" s="582" t="s">
        <v>22</v>
      </c>
      <c r="H14" s="813"/>
      <c r="I14" s="1"/>
      <c r="J14" s="1088"/>
      <c r="K14" s="1088"/>
      <c r="L14" s="1088"/>
      <c r="M14" s="1088"/>
      <c r="N14" s="1088"/>
      <c r="O14" s="1088"/>
      <c r="P14" s="1088"/>
      <c r="Q14" s="1"/>
      <c r="R14" s="1088"/>
      <c r="S14" s="1088"/>
      <c r="T14" s="1"/>
      <c r="U14" s="446"/>
      <c r="V14" s="1"/>
      <c r="W14" s="1"/>
      <c r="X14" s="1"/>
      <c r="Y14" s="1"/>
      <c r="Z14" s="1"/>
      <c r="AA14" s="1"/>
      <c r="AB14" s="1"/>
      <c r="AC14" s="1"/>
      <c r="AD14" s="1"/>
      <c r="AE14" s="1"/>
      <c r="AF14" s="1"/>
      <c r="AG14" s="1"/>
      <c r="AH14" s="1"/>
      <c r="AI14" s="1"/>
      <c r="AJ14" s="1"/>
      <c r="AK14" s="1"/>
    </row>
    <row r="15" spans="1:37" s="743" customFormat="1" ht="13.5" thickBot="1" x14ac:dyDescent="0.35">
      <c r="A15" s="1"/>
      <c r="B15" s="1622"/>
      <c r="C15" s="1"/>
      <c r="D15" s="847"/>
      <c r="E15" s="816" t="s">
        <v>1164</v>
      </c>
      <c r="F15" s="1321">
        <f>IFERROR(Area_Reused/Area_Building,0)</f>
        <v>0</v>
      </c>
      <c r="G15" s="345" t="s">
        <v>807</v>
      </c>
      <c r="H15" s="813"/>
      <c r="I15" s="1"/>
      <c r="J15" s="1088"/>
      <c r="K15" s="1088"/>
      <c r="L15" s="1088"/>
      <c r="M15" s="1088"/>
      <c r="N15" s="1088"/>
      <c r="O15" s="1088"/>
      <c r="P15" s="1088"/>
      <c r="Q15" s="1"/>
      <c r="R15" s="1088"/>
      <c r="S15" s="1088"/>
      <c r="T15" s="1"/>
      <c r="U15" s="446"/>
      <c r="V15" s="1"/>
      <c r="W15" s="1"/>
      <c r="X15" s="1"/>
      <c r="Y15" s="1"/>
      <c r="Z15" s="1"/>
      <c r="AA15" s="1"/>
      <c r="AB15" s="1"/>
      <c r="AC15" s="1"/>
      <c r="AD15" s="1"/>
      <c r="AE15" s="1"/>
      <c r="AF15" s="1"/>
      <c r="AG15" s="1"/>
      <c r="AH15" s="1"/>
      <c r="AI15" s="1"/>
      <c r="AJ15" s="1"/>
      <c r="AK15" s="1"/>
    </row>
    <row r="16" spans="1:37" s="743" customFormat="1" ht="13" x14ac:dyDescent="0.3">
      <c r="A16" s="1"/>
      <c r="B16" s="1622"/>
      <c r="C16" s="1"/>
      <c r="D16" s="847"/>
      <c r="E16" s="816"/>
      <c r="F16" s="1322"/>
      <c r="G16" s="345"/>
      <c r="H16" s="813"/>
      <c r="I16" s="1"/>
      <c r="J16" s="1088"/>
      <c r="K16" s="1088"/>
      <c r="L16" s="1088"/>
      <c r="M16" s="1088"/>
      <c r="N16" s="1088"/>
      <c r="O16" s="1088"/>
      <c r="P16" s="1088"/>
      <c r="Q16" s="1"/>
      <c r="R16" s="1088"/>
      <c r="S16" s="1088"/>
      <c r="T16" s="1"/>
      <c r="U16" s="446"/>
      <c r="V16" s="1"/>
      <c r="W16" s="1"/>
      <c r="X16" s="1"/>
      <c r="Y16" s="1"/>
      <c r="Z16" s="1"/>
      <c r="AA16" s="1"/>
      <c r="AB16" s="1"/>
      <c r="AC16" s="1"/>
      <c r="AD16" s="1"/>
      <c r="AE16" s="1"/>
      <c r="AF16" s="1"/>
      <c r="AG16" s="1"/>
      <c r="AH16" s="1"/>
      <c r="AI16" s="1"/>
      <c r="AJ16" s="1"/>
      <c r="AK16" s="1"/>
    </row>
    <row r="17" spans="1:37" s="743" customFormat="1" ht="13" x14ac:dyDescent="0.3">
      <c r="A17" s="1"/>
      <c r="B17" s="1622"/>
      <c r="C17" s="1"/>
      <c r="D17" s="847"/>
      <c r="E17" s="344" t="s">
        <v>1073</v>
      </c>
      <c r="F17" s="1322"/>
      <c r="G17" s="345"/>
      <c r="H17" s="813"/>
      <c r="I17" s="1"/>
      <c r="J17" s="1088"/>
      <c r="K17" s="1088"/>
      <c r="L17" s="1088"/>
      <c r="M17" s="1088"/>
      <c r="N17" s="1088"/>
      <c r="O17" s="1088"/>
      <c r="P17" s="1088"/>
      <c r="Q17" s="1"/>
      <c r="R17" s="1088"/>
      <c r="S17" s="1088"/>
      <c r="T17" s="1"/>
      <c r="U17" s="446"/>
      <c r="V17" s="1"/>
      <c r="W17" s="1"/>
      <c r="X17" s="1"/>
      <c r="Y17" s="1"/>
      <c r="Z17" s="1"/>
      <c r="AA17" s="1"/>
      <c r="AB17" s="1"/>
      <c r="AC17" s="1"/>
      <c r="AD17" s="1"/>
      <c r="AE17" s="1"/>
      <c r="AF17" s="1"/>
      <c r="AG17" s="1"/>
      <c r="AH17" s="1"/>
      <c r="AI17" s="1"/>
      <c r="AJ17" s="1"/>
      <c r="AK17" s="1"/>
    </row>
    <row r="18" spans="1:37" s="743" customFormat="1" ht="13" x14ac:dyDescent="0.3">
      <c r="A18" s="1"/>
      <c r="B18" s="1622"/>
      <c r="C18" s="1"/>
      <c r="D18" s="847"/>
      <c r="E18" s="816"/>
      <c r="F18" s="1322"/>
      <c r="G18" s="345"/>
      <c r="H18" s="813"/>
      <c r="I18" s="1"/>
      <c r="J18" s="1088"/>
      <c r="K18" s="1088"/>
      <c r="L18" s="1088"/>
      <c r="M18" s="1088"/>
      <c r="N18" s="1088"/>
      <c r="O18" s="1088"/>
      <c r="P18" s="1088"/>
      <c r="Q18" s="1"/>
      <c r="R18" s="1088"/>
      <c r="S18" s="1088"/>
      <c r="T18" s="1"/>
      <c r="U18" s="446"/>
      <c r="V18" s="1"/>
      <c r="W18" s="1"/>
      <c r="X18" s="1"/>
      <c r="Y18" s="1"/>
      <c r="Z18" s="1"/>
      <c r="AA18" s="1"/>
      <c r="AB18" s="1"/>
      <c r="AC18" s="1"/>
      <c r="AD18" s="1"/>
      <c r="AE18" s="1"/>
      <c r="AF18" s="1"/>
      <c r="AG18" s="1"/>
      <c r="AH18" s="1"/>
      <c r="AI18" s="1"/>
      <c r="AJ18" s="1"/>
      <c r="AK18" s="1"/>
    </row>
    <row r="19" spans="1:37" s="743" customFormat="1" ht="13" x14ac:dyDescent="0.3">
      <c r="A19" s="1"/>
      <c r="B19" s="1622"/>
      <c r="C19" s="1"/>
      <c r="D19" s="856"/>
      <c r="E19" s="818"/>
      <c r="F19" s="1323"/>
      <c r="G19" s="947"/>
      <c r="H19" s="841"/>
      <c r="I19" s="1"/>
      <c r="J19" s="1088"/>
      <c r="K19" s="1088"/>
      <c r="L19" s="1088"/>
      <c r="M19" s="1088"/>
      <c r="N19" s="1088"/>
      <c r="O19" s="1088"/>
      <c r="P19" s="1088"/>
      <c r="Q19" s="1"/>
      <c r="R19" s="1088"/>
      <c r="S19" s="1088"/>
      <c r="T19" s="1"/>
      <c r="U19" s="446"/>
      <c r="V19" s="1"/>
      <c r="W19" s="1"/>
      <c r="X19" s="1"/>
      <c r="Y19" s="1"/>
      <c r="Z19" s="1"/>
      <c r="AA19" s="1"/>
      <c r="AB19" s="1"/>
      <c r="AC19" s="1"/>
      <c r="AD19" s="1"/>
      <c r="AE19" s="1"/>
      <c r="AF19" s="1"/>
      <c r="AG19" s="1"/>
      <c r="AH19" s="1"/>
      <c r="AI19" s="1"/>
      <c r="AJ19" s="1"/>
      <c r="AK19" s="1"/>
    </row>
    <row r="20" spans="1:37" s="743" customFormat="1" ht="13" x14ac:dyDescent="0.3">
      <c r="A20" s="1"/>
      <c r="B20" s="1"/>
      <c r="C20" s="1"/>
      <c r="D20" s="1"/>
      <c r="E20" s="8"/>
      <c r="F20" s="64"/>
      <c r="G20" s="8"/>
      <c r="H20" s="8"/>
      <c r="I20" s="1"/>
      <c r="J20" s="1324"/>
      <c r="K20" s="1142"/>
      <c r="L20" s="1142"/>
      <c r="M20" s="1142"/>
      <c r="N20" s="1142"/>
      <c r="O20" s="1142"/>
      <c r="P20" s="1142"/>
      <c r="Q20" s="1142"/>
      <c r="R20" s="1142"/>
      <c r="S20" s="1"/>
      <c r="T20" s="1"/>
      <c r="U20" s="446"/>
      <c r="V20" s="1"/>
      <c r="W20" s="1"/>
      <c r="X20" s="1"/>
      <c r="Y20" s="1"/>
      <c r="Z20" s="1"/>
      <c r="AA20" s="1"/>
      <c r="AB20" s="1"/>
      <c r="AC20" s="1"/>
      <c r="AD20" s="1"/>
      <c r="AE20" s="1"/>
      <c r="AF20" s="1"/>
      <c r="AG20" s="1"/>
      <c r="AH20" s="1"/>
      <c r="AI20" s="1"/>
      <c r="AJ20" s="1"/>
      <c r="AK20" s="1"/>
    </row>
    <row r="21" spans="1:37" s="743" customFormat="1" ht="13" x14ac:dyDescent="0.3">
      <c r="A21" s="1"/>
      <c r="B21" s="1663" t="s">
        <v>406</v>
      </c>
      <c r="C21" s="1"/>
      <c r="D21" s="1636" t="s">
        <v>913</v>
      </c>
      <c r="E21" s="1637"/>
      <c r="F21" s="1637"/>
      <c r="G21" s="1637"/>
      <c r="H21" s="1638"/>
      <c r="I21" s="1"/>
      <c r="J21" s="1535"/>
      <c r="K21" s="1532"/>
      <c r="L21" s="1533"/>
      <c r="M21" s="1533"/>
      <c r="N21" s="1527" t="s">
        <v>1201</v>
      </c>
      <c r="O21" s="1533"/>
      <c r="P21" s="1534"/>
      <c r="Q21" s="1"/>
      <c r="R21" s="1795" t="str">
        <f>HYPERLINK("https://www.carbondeqo.com/","deQo database of embodied quantity outputs. MIT Building technology program")</f>
        <v>deQo database of embodied quantity outputs. MIT Building technology program</v>
      </c>
      <c r="S21" s="1796"/>
      <c r="T21" s="1"/>
      <c r="U21" s="446"/>
      <c r="V21" s="1"/>
      <c r="W21" s="1"/>
      <c r="X21" s="1"/>
      <c r="Y21" s="1"/>
      <c r="Z21" s="1"/>
      <c r="AA21" s="1"/>
      <c r="AB21" s="1"/>
      <c r="AC21" s="1"/>
      <c r="AD21" s="1"/>
      <c r="AE21" s="1"/>
      <c r="AF21" s="1"/>
      <c r="AG21" s="1"/>
      <c r="AH21" s="1"/>
      <c r="AI21" s="1"/>
      <c r="AJ21" s="1"/>
      <c r="AK21" s="1"/>
    </row>
    <row r="22" spans="1:37" s="743" customFormat="1" ht="13" x14ac:dyDescent="0.3">
      <c r="A22" s="1"/>
      <c r="B22" s="1663"/>
      <c r="C22" s="1"/>
      <c r="D22" s="843"/>
      <c r="E22" s="809"/>
      <c r="F22" s="810"/>
      <c r="G22" s="809"/>
      <c r="H22" s="811"/>
      <c r="I22" s="1"/>
      <c r="J22" s="1537" t="s">
        <v>192</v>
      </c>
      <c r="K22" s="1326" t="s">
        <v>193</v>
      </c>
      <c r="L22" s="1327" t="s">
        <v>193</v>
      </c>
      <c r="M22" s="1328" t="s">
        <v>408</v>
      </c>
      <c r="N22" s="1327" t="s">
        <v>408</v>
      </c>
      <c r="O22" s="1328" t="s">
        <v>194</v>
      </c>
      <c r="P22" s="1329" t="s">
        <v>194</v>
      </c>
      <c r="Q22" s="1"/>
      <c r="R22" s="1795"/>
      <c r="S22" s="1796"/>
      <c r="T22" s="1"/>
      <c r="V22" s="1"/>
      <c r="W22" s="1"/>
      <c r="X22" s="1"/>
      <c r="Y22" s="1"/>
      <c r="Z22" s="1"/>
      <c r="AA22" s="1"/>
      <c r="AB22" s="1"/>
      <c r="AC22" s="1"/>
      <c r="AD22" s="1"/>
      <c r="AE22" s="1"/>
      <c r="AF22" s="1"/>
      <c r="AG22" s="1"/>
      <c r="AH22" s="1"/>
      <c r="AI22" s="1"/>
      <c r="AJ22" s="1"/>
      <c r="AK22" s="1"/>
    </row>
    <row r="23" spans="1:37" s="743" customFormat="1" ht="13" x14ac:dyDescent="0.3">
      <c r="A23" s="1"/>
      <c r="B23" s="1663"/>
      <c r="C23" s="1"/>
      <c r="D23" s="847"/>
      <c r="E23" s="344" t="s">
        <v>1202</v>
      </c>
      <c r="F23" s="358"/>
      <c r="G23" s="1330" t="s">
        <v>687</v>
      </c>
      <c r="H23" s="813"/>
      <c r="I23" s="1"/>
      <c r="J23" s="1103" t="s">
        <v>410</v>
      </c>
      <c r="K23" s="1331">
        <v>138</v>
      </c>
      <c r="L23" s="1332">
        <f>K:K*kg_per_sm_to_kg_per_sf</f>
        <v>12.825278810408923</v>
      </c>
      <c r="M23" s="1331">
        <v>277</v>
      </c>
      <c r="N23" s="1332">
        <f t="shared" ref="N23:N35" si="0">M:M*kg_per_sm_to_kg_per_sf</f>
        <v>25.743494423791823</v>
      </c>
      <c r="O23" s="1331">
        <v>512</v>
      </c>
      <c r="P23" s="1332">
        <f t="shared" ref="P23:P35" si="1">O:O*kg_per_sm_to_kg_per_sf</f>
        <v>47.583643122676584</v>
      </c>
      <c r="Q23" s="1"/>
      <c r="R23" s="1127" t="s">
        <v>419</v>
      </c>
      <c r="S23" s="1088"/>
      <c r="T23" s="1"/>
      <c r="U23" s="1333" t="s">
        <v>416</v>
      </c>
      <c r="V23" s="1"/>
      <c r="W23" s="1"/>
      <c r="X23" s="1"/>
      <c r="Y23" s="1"/>
      <c r="Z23" s="1"/>
      <c r="AA23" s="1"/>
      <c r="AB23" s="1"/>
      <c r="AC23" s="1"/>
      <c r="AD23" s="1"/>
      <c r="AE23" s="1"/>
      <c r="AF23" s="1"/>
      <c r="AG23" s="1"/>
      <c r="AH23" s="1"/>
      <c r="AI23" s="1"/>
      <c r="AJ23" s="1"/>
      <c r="AK23" s="1"/>
    </row>
    <row r="24" spans="1:37" s="743" customFormat="1" ht="13" x14ac:dyDescent="0.3">
      <c r="A24" s="1"/>
      <c r="B24" s="1663"/>
      <c r="C24" s="1"/>
      <c r="D24" s="847"/>
      <c r="E24" s="344" t="s">
        <v>341</v>
      </c>
      <c r="F24" s="347"/>
      <c r="G24" s="812"/>
      <c r="H24" s="813"/>
      <c r="I24" s="1"/>
      <c r="J24" s="1103" t="s">
        <v>411</v>
      </c>
      <c r="K24" s="1331">
        <v>127</v>
      </c>
      <c r="L24" s="1332">
        <f t="shared" ref="L24:L35" si="2">K:K*kg_per_sm_to_kg_per_sf</f>
        <v>11.802973977695169</v>
      </c>
      <c r="M24" s="1331">
        <v>159</v>
      </c>
      <c r="N24" s="1332">
        <f t="shared" si="0"/>
        <v>14.776951672862454</v>
      </c>
      <c r="O24" s="1331">
        <v>202</v>
      </c>
      <c r="P24" s="1332">
        <f t="shared" si="1"/>
        <v>18.773234200743495</v>
      </c>
      <c r="Q24" s="1"/>
      <c r="R24" s="1088"/>
      <c r="S24" s="1088"/>
      <c r="T24" s="1"/>
      <c r="U24" s="1334">
        <v>0.204816</v>
      </c>
      <c r="V24" s="1"/>
      <c r="W24" s="1"/>
      <c r="X24" s="1"/>
      <c r="Y24" s="1"/>
      <c r="Z24" s="1"/>
      <c r="AA24" s="1"/>
      <c r="AB24" s="1"/>
      <c r="AC24" s="1"/>
      <c r="AD24" s="1"/>
      <c r="AE24" s="1"/>
      <c r="AF24" s="1"/>
      <c r="AG24" s="1"/>
      <c r="AH24" s="1"/>
      <c r="AI24" s="1"/>
      <c r="AJ24" s="1"/>
      <c r="AK24" s="1"/>
    </row>
    <row r="25" spans="1:37" s="743" customFormat="1" ht="13" x14ac:dyDescent="0.3">
      <c r="A25" s="1"/>
      <c r="B25" s="1663"/>
      <c r="C25" s="1"/>
      <c r="D25" s="847"/>
      <c r="E25" s="344" t="s">
        <v>342</v>
      </c>
      <c r="F25" s="394"/>
      <c r="G25" s="812"/>
      <c r="H25" s="813"/>
      <c r="I25" s="1"/>
      <c r="J25" s="1103" t="s">
        <v>414</v>
      </c>
      <c r="K25" s="1331">
        <v>134</v>
      </c>
      <c r="L25" s="1332">
        <f t="shared" si="2"/>
        <v>12.453531598513012</v>
      </c>
      <c r="M25" s="1331">
        <v>168</v>
      </c>
      <c r="N25" s="1332">
        <f t="shared" si="0"/>
        <v>15.613382899628254</v>
      </c>
      <c r="O25" s="1331">
        <v>647</v>
      </c>
      <c r="P25" s="1332">
        <f t="shared" si="1"/>
        <v>60.130111524163574</v>
      </c>
      <c r="Q25" s="1"/>
      <c r="R25" s="1088"/>
      <c r="S25" s="1088"/>
      <c r="T25" s="1"/>
      <c r="U25" s="1334"/>
      <c r="V25" s="1"/>
      <c r="W25" s="1"/>
      <c r="X25" s="1"/>
      <c r="Y25" s="1"/>
      <c r="Z25" s="1"/>
      <c r="AA25" s="1"/>
      <c r="AB25" s="1"/>
      <c r="AC25" s="1"/>
      <c r="AD25" s="1"/>
      <c r="AE25" s="1"/>
      <c r="AF25" s="1"/>
      <c r="AG25" s="1"/>
      <c r="AH25" s="1"/>
      <c r="AI25" s="1"/>
      <c r="AJ25" s="1"/>
      <c r="AK25" s="1"/>
    </row>
    <row r="26" spans="1:37" s="743" customFormat="1" x14ac:dyDescent="0.3">
      <c r="A26" s="1"/>
      <c r="B26" s="1663"/>
      <c r="C26" s="1"/>
      <c r="D26" s="847"/>
      <c r="E26" s="1288" t="s">
        <v>1138</v>
      </c>
      <c r="F26" s="363"/>
      <c r="G26" s="1330" t="s">
        <v>687</v>
      </c>
      <c r="H26" s="813"/>
      <c r="I26" s="1"/>
      <c r="J26" s="1103" t="s">
        <v>418</v>
      </c>
      <c r="K26" s="1331">
        <v>111</v>
      </c>
      <c r="L26" s="1332">
        <f t="shared" si="2"/>
        <v>10.315985130111525</v>
      </c>
      <c r="M26" s="1331">
        <v>257</v>
      </c>
      <c r="N26" s="1332">
        <f t="shared" si="0"/>
        <v>23.884758364312269</v>
      </c>
      <c r="O26" s="1331">
        <v>424</v>
      </c>
      <c r="P26" s="1332">
        <f t="shared" si="1"/>
        <v>39.405204460966544</v>
      </c>
      <c r="Q26" s="1"/>
      <c r="R26" s="1088"/>
      <c r="S26" s="1088"/>
      <c r="T26" s="1"/>
      <c r="U26" s="446">
        <v>4.8824300000000003</v>
      </c>
      <c r="V26" s="1"/>
      <c r="W26" s="1"/>
      <c r="X26" s="1"/>
      <c r="Y26" s="1"/>
      <c r="Z26" s="1"/>
      <c r="AA26" s="1"/>
      <c r="AB26" s="1"/>
      <c r="AC26" s="1"/>
      <c r="AD26" s="1"/>
      <c r="AE26" s="1"/>
      <c r="AF26" s="1"/>
      <c r="AG26" s="1"/>
      <c r="AH26" s="1"/>
      <c r="AI26" s="1"/>
      <c r="AJ26" s="1"/>
      <c r="AK26" s="1"/>
    </row>
    <row r="27" spans="1:37" s="743" customFormat="1" ht="13" x14ac:dyDescent="0.3">
      <c r="A27" s="1"/>
      <c r="B27" s="1663"/>
      <c r="C27" s="1"/>
      <c r="D27" s="847"/>
      <c r="E27" s="344" t="s">
        <v>1203</v>
      </c>
      <c r="F27" s="363"/>
      <c r="G27" s="1330" t="s">
        <v>687</v>
      </c>
      <c r="H27" s="813"/>
      <c r="I27" s="1"/>
      <c r="J27" s="1103" t="s">
        <v>207</v>
      </c>
      <c r="K27" s="1331">
        <v>86</v>
      </c>
      <c r="L27" s="1332">
        <f t="shared" si="2"/>
        <v>7.9925650557620829</v>
      </c>
      <c r="M27" s="1331">
        <v>329</v>
      </c>
      <c r="N27" s="1332">
        <f t="shared" si="0"/>
        <v>30.576208178438666</v>
      </c>
      <c r="O27" s="1331">
        <v>661</v>
      </c>
      <c r="P27" s="1332">
        <f t="shared" si="1"/>
        <v>61.431226765799259</v>
      </c>
      <c r="Q27" s="1"/>
      <c r="R27" s="1088"/>
      <c r="S27" s="1088"/>
      <c r="T27" s="1"/>
      <c r="V27" s="1"/>
      <c r="W27" s="1"/>
      <c r="X27" s="1"/>
      <c r="Y27" s="1"/>
      <c r="Z27" s="1"/>
      <c r="AA27" s="1"/>
      <c r="AB27" s="1"/>
      <c r="AC27" s="1"/>
      <c r="AD27" s="1"/>
      <c r="AE27" s="1"/>
      <c r="AF27" s="1"/>
      <c r="AG27" s="1"/>
      <c r="AH27" s="1"/>
      <c r="AI27" s="1"/>
      <c r="AJ27" s="1"/>
      <c r="AK27" s="1"/>
    </row>
    <row r="28" spans="1:37" s="743" customFormat="1" ht="13" x14ac:dyDescent="0.3">
      <c r="A28" s="1"/>
      <c r="B28" s="1663"/>
      <c r="C28" s="1"/>
      <c r="D28" s="847"/>
      <c r="E28" s="344"/>
      <c r="F28" s="12"/>
      <c r="G28" s="812"/>
      <c r="H28" s="813"/>
      <c r="I28" s="1"/>
      <c r="J28" s="1103" t="s">
        <v>420</v>
      </c>
      <c r="K28" s="1331">
        <v>109</v>
      </c>
      <c r="L28" s="1332">
        <f t="shared" si="2"/>
        <v>10.130111524163569</v>
      </c>
      <c r="M28" s="1331">
        <v>389</v>
      </c>
      <c r="N28" s="1332">
        <f t="shared" si="0"/>
        <v>36.152416356877325</v>
      </c>
      <c r="O28" s="1331">
        <v>927</v>
      </c>
      <c r="P28" s="1332">
        <f t="shared" si="1"/>
        <v>86.152416356877325</v>
      </c>
      <c r="Q28" s="1"/>
      <c r="R28" s="1088"/>
      <c r="S28" s="1088"/>
      <c r="T28" s="1"/>
      <c r="U28" s="1333" t="s">
        <v>422</v>
      </c>
      <c r="V28" s="1"/>
      <c r="W28" s="1"/>
      <c r="X28" s="1"/>
      <c r="Y28" s="1"/>
      <c r="Z28" s="1"/>
      <c r="AA28" s="1"/>
      <c r="AB28" s="1"/>
      <c r="AC28" s="1"/>
      <c r="AD28" s="1"/>
      <c r="AE28" s="1"/>
      <c r="AF28" s="1"/>
      <c r="AG28" s="1"/>
      <c r="AH28" s="1"/>
      <c r="AI28" s="1"/>
      <c r="AJ28" s="1"/>
      <c r="AK28" s="1"/>
    </row>
    <row r="29" spans="1:37" s="743" customFormat="1" ht="13" x14ac:dyDescent="0.3">
      <c r="A29" s="1"/>
      <c r="B29" s="1663"/>
      <c r="C29" s="1"/>
      <c r="D29" s="847"/>
      <c r="E29" s="1249" t="s">
        <v>842</v>
      </c>
      <c r="F29" s="1249"/>
      <c r="G29" s="1330"/>
      <c r="H29" s="813"/>
      <c r="I29" s="1"/>
      <c r="J29" s="1103" t="s">
        <v>391</v>
      </c>
      <c r="K29" s="1331">
        <v>118</v>
      </c>
      <c r="L29" s="1332">
        <f t="shared" si="2"/>
        <v>10.966542750929369</v>
      </c>
      <c r="M29" s="1331">
        <v>378</v>
      </c>
      <c r="N29" s="1332">
        <f t="shared" si="0"/>
        <v>35.130111524163574</v>
      </c>
      <c r="O29" s="1331">
        <v>652</v>
      </c>
      <c r="P29" s="1332">
        <f t="shared" si="1"/>
        <v>60.594795539033463</v>
      </c>
      <c r="Q29" s="1"/>
      <c r="R29" s="1088"/>
      <c r="S29" s="1088"/>
      <c r="T29" s="1"/>
      <c r="U29" s="1335">
        <v>10.76</v>
      </c>
      <c r="V29" s="1"/>
      <c r="W29" s="1"/>
      <c r="X29" s="1"/>
      <c r="Y29" s="1"/>
      <c r="Z29" s="1"/>
      <c r="AA29" s="1"/>
      <c r="AB29" s="1"/>
      <c r="AC29" s="1"/>
      <c r="AD29" s="1"/>
      <c r="AE29" s="1"/>
      <c r="AF29" s="1"/>
      <c r="AG29" s="1"/>
      <c r="AH29" s="1"/>
      <c r="AI29" s="1"/>
      <c r="AJ29" s="1"/>
      <c r="AK29" s="1"/>
    </row>
    <row r="30" spans="1:37" s="743" customFormat="1" ht="13" x14ac:dyDescent="0.3">
      <c r="A30" s="1"/>
      <c r="B30" s="1663"/>
      <c r="C30" s="1"/>
      <c r="D30" s="847"/>
      <c r="E30" s="344" t="s">
        <v>425</v>
      </c>
      <c r="F30" s="1330"/>
      <c r="G30" s="1330"/>
      <c r="H30" s="813"/>
      <c r="I30" s="1"/>
      <c r="J30" s="1103" t="s">
        <v>421</v>
      </c>
      <c r="K30" s="1331">
        <v>33</v>
      </c>
      <c r="L30" s="1332">
        <f t="shared" si="2"/>
        <v>3.0669144981412644</v>
      </c>
      <c r="M30" s="1331">
        <v>418</v>
      </c>
      <c r="N30" s="1332">
        <f t="shared" si="0"/>
        <v>38.847583643122682</v>
      </c>
      <c r="O30" s="1331">
        <v>910</v>
      </c>
      <c r="P30" s="1332">
        <f t="shared" si="1"/>
        <v>84.572490706319712</v>
      </c>
      <c r="Q30" s="1"/>
      <c r="R30" s="1088"/>
      <c r="S30" s="1088"/>
      <c r="T30" s="1"/>
      <c r="U30" s="1336">
        <f>1/10.76</f>
        <v>9.2936802973977703E-2</v>
      </c>
      <c r="V30" s="1"/>
      <c r="W30" s="1"/>
      <c r="X30" s="1"/>
      <c r="Y30" s="1"/>
      <c r="Z30" s="1"/>
      <c r="AA30" s="1"/>
      <c r="AB30" s="1"/>
      <c r="AC30" s="1"/>
      <c r="AD30" s="1"/>
      <c r="AE30" s="1"/>
      <c r="AF30" s="1"/>
      <c r="AG30" s="1"/>
      <c r="AH30" s="1"/>
      <c r="AI30" s="1"/>
      <c r="AJ30" s="1"/>
      <c r="AK30" s="1"/>
    </row>
    <row r="31" spans="1:37" s="743" customFormat="1" ht="13" x14ac:dyDescent="0.3">
      <c r="A31" s="1"/>
      <c r="B31" s="1663"/>
      <c r="C31" s="1"/>
      <c r="D31" s="847"/>
      <c r="E31" s="344" t="s">
        <v>427</v>
      </c>
      <c r="F31" s="1330"/>
      <c r="G31" s="1330"/>
      <c r="H31" s="813"/>
      <c r="I31" s="1"/>
      <c r="J31" s="1103" t="s">
        <v>423</v>
      </c>
      <c r="K31" s="1331">
        <v>106</v>
      </c>
      <c r="L31" s="1332">
        <f t="shared" si="2"/>
        <v>9.8513011152416361</v>
      </c>
      <c r="M31" s="1331">
        <v>240</v>
      </c>
      <c r="N31" s="1332">
        <f t="shared" si="0"/>
        <v>22.304832713754649</v>
      </c>
      <c r="O31" s="1331">
        <v>436</v>
      </c>
      <c r="P31" s="1332">
        <f t="shared" si="1"/>
        <v>40.520446096654275</v>
      </c>
      <c r="Q31" s="1"/>
      <c r="R31" s="1088"/>
      <c r="S31" s="1088"/>
      <c r="T31" s="1"/>
      <c r="U31" s="446"/>
      <c r="V31" s="1"/>
      <c r="W31" s="1"/>
      <c r="X31" s="1"/>
      <c r="Y31" s="1"/>
      <c r="Z31" s="1"/>
      <c r="AA31" s="1"/>
      <c r="AB31" s="1"/>
      <c r="AC31" s="1"/>
      <c r="AD31" s="1"/>
      <c r="AE31" s="1"/>
      <c r="AF31" s="1"/>
      <c r="AG31" s="1"/>
      <c r="AH31" s="1"/>
      <c r="AI31" s="1"/>
      <c r="AJ31" s="1"/>
      <c r="AK31" s="1"/>
    </row>
    <row r="32" spans="1:37" s="743" customFormat="1" ht="13" x14ac:dyDescent="0.3">
      <c r="A32" s="1"/>
      <c r="B32" s="1663"/>
      <c r="C32" s="1"/>
      <c r="D32" s="847"/>
      <c r="E32" s="344" t="s">
        <v>430</v>
      </c>
      <c r="F32" s="1330"/>
      <c r="G32" s="1330"/>
      <c r="H32" s="813"/>
      <c r="I32" s="1"/>
      <c r="J32" s="1103" t="s">
        <v>202</v>
      </c>
      <c r="K32" s="1331">
        <v>153</v>
      </c>
      <c r="L32" s="1332">
        <f t="shared" si="2"/>
        <v>14.219330855018589</v>
      </c>
      <c r="M32" s="1331">
        <v>356</v>
      </c>
      <c r="N32" s="1332">
        <f t="shared" si="0"/>
        <v>33.085501858736059</v>
      </c>
      <c r="O32" s="1331">
        <v>542</v>
      </c>
      <c r="P32" s="1332">
        <f t="shared" si="1"/>
        <v>50.371747211895915</v>
      </c>
      <c r="Q32" s="1"/>
      <c r="R32" s="1088"/>
      <c r="S32" s="1088"/>
      <c r="T32" s="1"/>
      <c r="U32" s="446"/>
      <c r="V32" s="1"/>
      <c r="W32" s="1"/>
      <c r="X32" s="1"/>
      <c r="Y32" s="1"/>
      <c r="Z32" s="1"/>
      <c r="AA32" s="1"/>
      <c r="AB32" s="1"/>
      <c r="AC32" s="1"/>
      <c r="AD32" s="1"/>
      <c r="AE32" s="1"/>
      <c r="AF32" s="1"/>
      <c r="AG32" s="1"/>
      <c r="AH32" s="1"/>
      <c r="AI32" s="1"/>
      <c r="AJ32" s="1"/>
      <c r="AK32" s="1"/>
    </row>
    <row r="33" spans="1:37" s="743" customFormat="1" ht="13" x14ac:dyDescent="0.3">
      <c r="A33" s="1"/>
      <c r="B33" s="1663"/>
      <c r="C33" s="1"/>
      <c r="D33" s="847"/>
      <c r="E33" s="344" t="s">
        <v>426</v>
      </c>
      <c r="F33" s="1330"/>
      <c r="G33" s="1330"/>
      <c r="H33" s="813"/>
      <c r="I33" s="1"/>
      <c r="J33" s="1103" t="s">
        <v>424</v>
      </c>
      <c r="K33" s="1331">
        <v>535</v>
      </c>
      <c r="L33" s="1332">
        <f t="shared" si="2"/>
        <v>49.721189591078073</v>
      </c>
      <c r="M33" s="1331">
        <v>741</v>
      </c>
      <c r="N33" s="1332">
        <f t="shared" si="0"/>
        <v>68.866171003717483</v>
      </c>
      <c r="O33" s="1331">
        <v>1177</v>
      </c>
      <c r="P33" s="1332">
        <f t="shared" si="1"/>
        <v>109.38661710037175</v>
      </c>
      <c r="Q33" s="1"/>
      <c r="R33" s="1088"/>
      <c r="S33" s="1088"/>
      <c r="T33" s="1"/>
      <c r="U33" s="446"/>
      <c r="V33" s="1"/>
      <c r="W33" s="1"/>
      <c r="X33" s="1"/>
      <c r="Y33" s="1"/>
      <c r="Z33" s="1"/>
      <c r="AA33" s="1"/>
      <c r="AB33" s="1"/>
      <c r="AC33" s="1"/>
      <c r="AD33" s="1"/>
      <c r="AE33" s="1"/>
      <c r="AF33" s="1"/>
      <c r="AG33" s="1"/>
      <c r="AH33" s="1"/>
      <c r="AI33" s="1"/>
      <c r="AJ33" s="1"/>
      <c r="AK33" s="1"/>
    </row>
    <row r="34" spans="1:37" s="743" customFormat="1" ht="13" x14ac:dyDescent="0.3">
      <c r="A34" s="1"/>
      <c r="B34" s="1663"/>
      <c r="C34" s="1"/>
      <c r="D34" s="847"/>
      <c r="E34" s="344" t="s">
        <v>428</v>
      </c>
      <c r="F34" s="1330"/>
      <c r="G34" s="821"/>
      <c r="H34" s="813"/>
      <c r="I34" s="1"/>
      <c r="J34" s="1103" t="s">
        <v>212</v>
      </c>
      <c r="K34" s="1331">
        <v>127</v>
      </c>
      <c r="L34" s="1332">
        <f t="shared" si="2"/>
        <v>11.802973977695169</v>
      </c>
      <c r="M34" s="1331">
        <v>377</v>
      </c>
      <c r="N34" s="1332">
        <f t="shared" si="0"/>
        <v>35.037174721189594</v>
      </c>
      <c r="O34" s="1331">
        <v>935</v>
      </c>
      <c r="P34" s="1332">
        <f t="shared" si="1"/>
        <v>86.895910780669155</v>
      </c>
      <c r="Q34" s="1"/>
      <c r="R34" s="1088"/>
      <c r="S34" s="1088"/>
      <c r="T34" s="1"/>
      <c r="U34" s="446"/>
      <c r="V34" s="1"/>
      <c r="W34" s="1"/>
      <c r="X34" s="1"/>
      <c r="Y34" s="1"/>
      <c r="Z34" s="1"/>
      <c r="AA34" s="1"/>
      <c r="AB34" s="1"/>
      <c r="AC34" s="1"/>
      <c r="AD34" s="1"/>
      <c r="AE34" s="1"/>
      <c r="AF34" s="1"/>
      <c r="AG34" s="1"/>
      <c r="AH34" s="1"/>
      <c r="AI34" s="1"/>
      <c r="AJ34" s="1"/>
      <c r="AK34" s="1"/>
    </row>
    <row r="35" spans="1:37" s="743" customFormat="1" ht="13" x14ac:dyDescent="0.3">
      <c r="A35" s="1"/>
      <c r="B35" s="1663"/>
      <c r="C35" s="1"/>
      <c r="D35" s="847"/>
      <c r="E35" s="1249" t="s">
        <v>843</v>
      </c>
      <c r="F35" s="12"/>
      <c r="G35" s="821"/>
      <c r="H35" s="813"/>
      <c r="I35" s="1"/>
      <c r="J35" s="1337" t="s">
        <v>429</v>
      </c>
      <c r="K35" s="1331">
        <v>176</v>
      </c>
      <c r="L35" s="1332">
        <f t="shared" si="2"/>
        <v>16.356877323420075</v>
      </c>
      <c r="M35" s="1331">
        <v>380</v>
      </c>
      <c r="N35" s="1332">
        <f t="shared" si="0"/>
        <v>35.315985130111528</v>
      </c>
      <c r="O35" s="1331">
        <v>870</v>
      </c>
      <c r="P35" s="1332">
        <f t="shared" si="1"/>
        <v>80.855018587360604</v>
      </c>
      <c r="Q35" s="1"/>
      <c r="R35" s="1088"/>
      <c r="S35" s="1088"/>
      <c r="T35" s="1"/>
      <c r="U35" s="446"/>
      <c r="V35" s="1"/>
      <c r="W35" s="1"/>
      <c r="X35" s="1"/>
      <c r="Y35" s="1"/>
      <c r="Z35" s="1"/>
      <c r="AA35" s="1"/>
      <c r="AB35" s="1"/>
      <c r="AC35" s="1"/>
      <c r="AD35" s="1"/>
      <c r="AE35" s="1"/>
      <c r="AF35" s="1"/>
      <c r="AG35" s="1"/>
      <c r="AH35" s="1"/>
      <c r="AI35" s="1"/>
      <c r="AJ35" s="1"/>
      <c r="AK35" s="1"/>
    </row>
    <row r="36" spans="1:37" s="743" customFormat="1" ht="13" x14ac:dyDescent="0.3">
      <c r="A36" s="1"/>
      <c r="B36" s="1663"/>
      <c r="C36" s="1"/>
      <c r="D36" s="847"/>
      <c r="E36" s="344" t="s">
        <v>431</v>
      </c>
      <c r="F36" s="358"/>
      <c r="G36" s="1330" t="s">
        <v>687</v>
      </c>
      <c r="H36" s="813"/>
      <c r="I36" s="1"/>
      <c r="J36" s="25"/>
      <c r="K36" s="25"/>
      <c r="L36" s="25"/>
      <c r="M36" s="25"/>
      <c r="N36" s="25"/>
      <c r="O36" s="25"/>
      <c r="P36" s="25"/>
      <c r="Q36" s="1"/>
      <c r="R36" s="1088"/>
      <c r="S36" s="1088"/>
      <c r="T36" s="1"/>
      <c r="U36" s="446"/>
      <c r="V36" s="1"/>
      <c r="W36" s="1"/>
      <c r="X36" s="1"/>
      <c r="Y36" s="1"/>
      <c r="Z36" s="1"/>
      <c r="AA36" s="1"/>
      <c r="AB36" s="1"/>
      <c r="AC36" s="1"/>
      <c r="AD36" s="1"/>
      <c r="AE36" s="1"/>
      <c r="AF36" s="1"/>
      <c r="AG36" s="1"/>
      <c r="AH36" s="1"/>
      <c r="AI36" s="1"/>
      <c r="AJ36" s="1"/>
      <c r="AK36" s="1"/>
    </row>
    <row r="37" spans="1:37" s="743" customFormat="1" ht="13" x14ac:dyDescent="0.3">
      <c r="A37" s="1"/>
      <c r="B37" s="1663"/>
      <c r="C37" s="1"/>
      <c r="D37" s="847"/>
      <c r="E37" s="344" t="s">
        <v>434</v>
      </c>
      <c r="F37" s="358"/>
      <c r="G37" s="1330" t="s">
        <v>687</v>
      </c>
      <c r="H37" s="813"/>
      <c r="I37" s="1"/>
      <c r="J37" s="1528"/>
      <c r="K37" s="1532"/>
      <c r="L37" s="1533"/>
      <c r="M37" s="1533"/>
      <c r="N37" s="1527" t="s">
        <v>1201</v>
      </c>
      <c r="O37" s="1533"/>
      <c r="P37" s="1534"/>
      <c r="Q37" s="1"/>
      <c r="R37" s="1088"/>
      <c r="S37" s="1088"/>
      <c r="T37" s="1"/>
      <c r="U37" s="446"/>
      <c r="V37" s="446"/>
      <c r="W37" s="446"/>
      <c r="X37" s="446"/>
      <c r="Y37" s="446"/>
      <c r="Z37" s="446"/>
      <c r="AA37" s="446"/>
      <c r="AB37" s="446"/>
      <c r="AC37" s="446"/>
      <c r="AD37" s="446"/>
      <c r="AE37" s="446"/>
      <c r="AF37" s="446"/>
      <c r="AG37" s="446"/>
      <c r="AH37" s="1"/>
      <c r="AI37" s="1"/>
      <c r="AJ37" s="1"/>
      <c r="AK37" s="1"/>
    </row>
    <row r="38" spans="1:37" s="743" customFormat="1" ht="13" x14ac:dyDescent="0.3">
      <c r="A38" s="1"/>
      <c r="B38" s="1663"/>
      <c r="C38" s="1"/>
      <c r="D38" s="847"/>
      <c r="E38" s="344" t="s">
        <v>436</v>
      </c>
      <c r="F38" s="358"/>
      <c r="G38" s="1330" t="s">
        <v>687</v>
      </c>
      <c r="H38" s="817"/>
      <c r="I38" s="1"/>
      <c r="J38" s="1536" t="s">
        <v>433</v>
      </c>
      <c r="K38" s="1326" t="s">
        <v>193</v>
      </c>
      <c r="L38" s="1327" t="s">
        <v>193</v>
      </c>
      <c r="M38" s="1328" t="s">
        <v>408</v>
      </c>
      <c r="N38" s="1327" t="s">
        <v>408</v>
      </c>
      <c r="O38" s="1328" t="s">
        <v>194</v>
      </c>
      <c r="P38" s="1329" t="s">
        <v>194</v>
      </c>
      <c r="Q38" s="1"/>
      <c r="R38" s="1088"/>
      <c r="S38" s="1088"/>
      <c r="T38" s="1"/>
      <c r="U38" s="446"/>
      <c r="V38" s="446"/>
      <c r="W38" s="446"/>
      <c r="X38" s="446"/>
      <c r="Y38" s="446"/>
      <c r="Z38" s="446"/>
      <c r="AA38" s="446"/>
      <c r="AB38" s="446"/>
      <c r="AC38" s="446"/>
      <c r="AD38" s="446"/>
      <c r="AE38" s="446"/>
      <c r="AF38" s="446"/>
      <c r="AG38" s="446"/>
      <c r="AH38" s="1"/>
      <c r="AI38" s="1"/>
      <c r="AJ38" s="1"/>
      <c r="AK38" s="1"/>
    </row>
    <row r="39" spans="1:37" s="743" customFormat="1" ht="13" x14ac:dyDescent="0.3">
      <c r="A39" s="1"/>
      <c r="B39" s="1663"/>
      <c r="C39" s="1"/>
      <c r="D39" s="847"/>
      <c r="E39" s="344" t="s">
        <v>438</v>
      </c>
      <c r="F39" s="358"/>
      <c r="G39" s="1330" t="s">
        <v>687</v>
      </c>
      <c r="H39" s="813"/>
      <c r="I39" s="1"/>
      <c r="J39" s="1103" t="s">
        <v>437</v>
      </c>
      <c r="K39" s="1331">
        <v>127</v>
      </c>
      <c r="L39" s="1332">
        <f t="shared" ref="L39:L45" si="3">K:K*kg_per_sm_to_kg_per_sf</f>
        <v>11.802973977695169</v>
      </c>
      <c r="M39" s="1331">
        <v>371</v>
      </c>
      <c r="N39" s="1332">
        <f t="shared" ref="N39:N45" si="4">M:M*kg_per_sm_to_kg_per_sf</f>
        <v>34.479553903345725</v>
      </c>
      <c r="O39" s="1331">
        <v>979</v>
      </c>
      <c r="P39" s="1332">
        <f t="shared" ref="P39:P45" si="5">O:O*kg_per_sm_to_kg_per_sf</f>
        <v>90.985130111524171</v>
      </c>
      <c r="Q39" s="1"/>
      <c r="R39" s="1088"/>
      <c r="S39" s="1088"/>
      <c r="T39" s="1"/>
      <c r="U39" s="446"/>
      <c r="V39" s="446"/>
      <c r="W39" s="446"/>
      <c r="X39" s="446"/>
      <c r="Y39" s="446"/>
      <c r="Z39" s="446"/>
      <c r="AA39" s="446"/>
      <c r="AB39" s="446"/>
      <c r="AC39" s="446"/>
      <c r="AD39" s="446"/>
      <c r="AE39" s="446"/>
      <c r="AF39" s="446"/>
      <c r="AG39" s="446"/>
      <c r="AH39" s="1"/>
      <c r="AI39" s="1"/>
      <c r="AJ39" s="1"/>
      <c r="AK39" s="1"/>
    </row>
    <row r="40" spans="1:37" s="743" customFormat="1" ht="13" x14ac:dyDescent="0.3">
      <c r="A40" s="1"/>
      <c r="B40" s="1663"/>
      <c r="C40" s="1"/>
      <c r="D40" s="847"/>
      <c r="E40" s="344" t="s">
        <v>432</v>
      </c>
      <c r="F40" s="358"/>
      <c r="G40" s="1330" t="s">
        <v>687</v>
      </c>
      <c r="H40" s="813"/>
      <c r="I40" s="1"/>
      <c r="J40" s="1103" t="s">
        <v>283</v>
      </c>
      <c r="K40" s="1331">
        <v>111</v>
      </c>
      <c r="L40" s="1332">
        <f t="shared" si="3"/>
        <v>10.315985130111525</v>
      </c>
      <c r="M40" s="1331">
        <v>361</v>
      </c>
      <c r="N40" s="1332">
        <f t="shared" si="4"/>
        <v>33.550185873605948</v>
      </c>
      <c r="O40" s="1331">
        <v>668</v>
      </c>
      <c r="P40" s="1332">
        <f t="shared" si="5"/>
        <v>62.081784386617109</v>
      </c>
      <c r="Q40" s="1"/>
      <c r="R40" s="1088"/>
      <c r="S40" s="1088"/>
      <c r="T40" s="1"/>
      <c r="U40" s="446"/>
      <c r="V40" s="446"/>
      <c r="W40" s="446"/>
      <c r="X40" s="446"/>
      <c r="Y40" s="446"/>
      <c r="Z40" s="446"/>
      <c r="AA40" s="446"/>
      <c r="AB40" s="446"/>
      <c r="AC40" s="446"/>
      <c r="AD40" s="446"/>
      <c r="AE40" s="446"/>
      <c r="AF40" s="446"/>
      <c r="AG40" s="446"/>
      <c r="AH40" s="1"/>
      <c r="AI40" s="1"/>
      <c r="AJ40" s="1"/>
      <c r="AK40" s="1"/>
    </row>
    <row r="41" spans="1:37" s="743" customFormat="1" ht="13" x14ac:dyDescent="0.3">
      <c r="A41" s="1"/>
      <c r="B41" s="1663"/>
      <c r="C41" s="1"/>
      <c r="D41" s="847"/>
      <c r="E41" s="344" t="s">
        <v>435</v>
      </c>
      <c r="F41" s="358"/>
      <c r="G41" s="1330" t="s">
        <v>687</v>
      </c>
      <c r="H41" s="813"/>
      <c r="I41" s="1"/>
      <c r="J41" s="1103" t="s">
        <v>439</v>
      </c>
      <c r="K41" s="1331">
        <v>47</v>
      </c>
      <c r="L41" s="1332">
        <f t="shared" si="3"/>
        <v>4.3680297397769516</v>
      </c>
      <c r="M41" s="1331">
        <v>244</v>
      </c>
      <c r="N41" s="1332">
        <f t="shared" si="4"/>
        <v>22.676579925650561</v>
      </c>
      <c r="O41" s="1331">
        <v>437</v>
      </c>
      <c r="P41" s="1332">
        <f t="shared" si="5"/>
        <v>40.613382899628256</v>
      </c>
      <c r="Q41" s="1"/>
      <c r="R41" s="1088"/>
      <c r="S41" s="1088"/>
      <c r="T41" s="1"/>
      <c r="U41" s="446"/>
      <c r="V41" s="446"/>
      <c r="W41" s="446"/>
      <c r="X41" s="446"/>
      <c r="Y41" s="446"/>
      <c r="Z41" s="446"/>
      <c r="AA41" s="446"/>
      <c r="AB41" s="446"/>
      <c r="AC41" s="446"/>
      <c r="AD41" s="446"/>
      <c r="AE41" s="446"/>
      <c r="AF41" s="446"/>
      <c r="AG41" s="446"/>
      <c r="AH41" s="1"/>
      <c r="AI41" s="1"/>
      <c r="AJ41" s="1"/>
      <c r="AK41" s="1"/>
    </row>
    <row r="42" spans="1:37" s="743" customFormat="1" ht="13" x14ac:dyDescent="0.3">
      <c r="A42" s="1"/>
      <c r="B42" s="1663"/>
      <c r="C42" s="1"/>
      <c r="D42" s="847"/>
      <c r="E42" s="365" t="s">
        <v>189</v>
      </c>
      <c r="F42" s="358"/>
      <c r="G42" s="812"/>
      <c r="H42" s="813"/>
      <c r="I42" s="1"/>
      <c r="J42" s="1103" t="s">
        <v>441</v>
      </c>
      <c r="K42" s="1331">
        <v>209</v>
      </c>
      <c r="L42" s="1332">
        <f t="shared" si="3"/>
        <v>19.423791821561341</v>
      </c>
      <c r="M42" s="1331">
        <v>272</v>
      </c>
      <c r="N42" s="1332">
        <f t="shared" si="4"/>
        <v>25.278810408921935</v>
      </c>
      <c r="O42" s="1331">
        <v>370</v>
      </c>
      <c r="P42" s="1332">
        <f t="shared" si="5"/>
        <v>34.386617100371751</v>
      </c>
      <c r="Q42" s="1"/>
      <c r="R42" s="1088"/>
      <c r="S42" s="1088"/>
      <c r="T42" s="1"/>
      <c r="U42" s="446"/>
      <c r="V42" s="446"/>
      <c r="W42" s="446"/>
      <c r="X42" s="446"/>
      <c r="Y42" s="446"/>
      <c r="Z42" s="446"/>
      <c r="AA42" s="446"/>
      <c r="AB42" s="446"/>
      <c r="AC42" s="446"/>
      <c r="AD42" s="446"/>
      <c r="AE42" s="446"/>
      <c r="AF42" s="446"/>
      <c r="AG42" s="446"/>
      <c r="AH42" s="1"/>
      <c r="AI42" s="1"/>
      <c r="AJ42" s="1"/>
      <c r="AK42" s="1"/>
    </row>
    <row r="43" spans="1:37" s="743" customFormat="1" ht="13" x14ac:dyDescent="0.3">
      <c r="A43" s="1"/>
      <c r="B43" s="1663"/>
      <c r="C43" s="1"/>
      <c r="D43" s="847"/>
      <c r="E43" s="821"/>
      <c r="F43" s="822"/>
      <c r="G43" s="821"/>
      <c r="H43" s="813"/>
      <c r="I43" s="1"/>
      <c r="J43" s="1103" t="s">
        <v>442</v>
      </c>
      <c r="K43" s="1331">
        <v>86</v>
      </c>
      <c r="L43" s="1332">
        <f t="shared" si="3"/>
        <v>7.9925650557620829</v>
      </c>
      <c r="M43" s="1331">
        <v>355</v>
      </c>
      <c r="N43" s="1332">
        <f t="shared" si="4"/>
        <v>32.992565055762086</v>
      </c>
      <c r="O43" s="1331">
        <v>743</v>
      </c>
      <c r="P43" s="1332">
        <f t="shared" si="5"/>
        <v>69.05204460966543</v>
      </c>
      <c r="Q43" s="1"/>
      <c r="R43" s="1088"/>
      <c r="S43" s="1088"/>
      <c r="T43" s="1"/>
      <c r="U43" s="446"/>
      <c r="V43" s="446"/>
      <c r="W43" s="446"/>
      <c r="X43" s="446"/>
      <c r="Y43" s="446"/>
      <c r="Z43" s="446"/>
      <c r="AA43" s="446"/>
      <c r="AB43" s="446"/>
      <c r="AC43" s="446"/>
      <c r="AD43" s="446"/>
      <c r="AE43" s="446"/>
      <c r="AF43" s="446"/>
      <c r="AG43" s="446"/>
      <c r="AH43" s="1"/>
      <c r="AI43" s="1"/>
      <c r="AJ43" s="1"/>
      <c r="AK43" s="1"/>
    </row>
    <row r="44" spans="1:37" s="743" customFormat="1" ht="14.4" customHeight="1" x14ac:dyDescent="0.3">
      <c r="A44" s="1"/>
      <c r="B44" s="1663"/>
      <c r="C44" s="1"/>
      <c r="D44" s="847"/>
      <c r="E44" s="344" t="s">
        <v>440</v>
      </c>
      <c r="F44" s="358"/>
      <c r="G44" s="1330" t="s">
        <v>687</v>
      </c>
      <c r="H44" s="813"/>
      <c r="I44" s="1"/>
      <c r="J44" s="1103" t="s">
        <v>857</v>
      </c>
      <c r="K44" s="1331">
        <f>(0.5*K41)+(0.5*K39)</f>
        <v>87</v>
      </c>
      <c r="L44" s="1332">
        <f t="shared" si="3"/>
        <v>8.0855018587360608</v>
      </c>
      <c r="M44" s="1331">
        <f>(0.5*M41)+(0.5*M39)</f>
        <v>307.5</v>
      </c>
      <c r="N44" s="1332">
        <f t="shared" si="4"/>
        <v>28.578066914498145</v>
      </c>
      <c r="O44" s="1331">
        <f>(0.5*O41)+(0.5*O39)</f>
        <v>708</v>
      </c>
      <c r="P44" s="1332">
        <f t="shared" si="5"/>
        <v>65.79925650557621</v>
      </c>
      <c r="Q44" s="1"/>
      <c r="R44" s="1088"/>
      <c r="S44" s="1088"/>
      <c r="T44" s="1"/>
      <c r="U44" s="446"/>
      <c r="V44" s="446"/>
      <c r="W44" s="446"/>
      <c r="X44" s="446"/>
      <c r="Y44" s="446"/>
      <c r="Z44" s="446"/>
      <c r="AA44" s="446"/>
      <c r="AB44" s="446"/>
      <c r="AC44" s="446"/>
      <c r="AD44" s="446"/>
      <c r="AE44" s="446"/>
      <c r="AF44" s="446"/>
      <c r="AG44" s="446"/>
      <c r="AH44" s="1"/>
      <c r="AI44" s="1"/>
      <c r="AJ44" s="1"/>
      <c r="AK44" s="1"/>
    </row>
    <row r="45" spans="1:37" s="743" customFormat="1" ht="13" x14ac:dyDescent="0.3">
      <c r="A45" s="1"/>
      <c r="B45" s="1663"/>
      <c r="C45" s="447"/>
      <c r="D45" s="1180"/>
      <c r="E45" s="818"/>
      <c r="F45" s="819"/>
      <c r="G45" s="839"/>
      <c r="H45" s="841"/>
      <c r="I45" s="1229"/>
      <c r="J45" s="1103" t="s">
        <v>858</v>
      </c>
      <c r="K45" s="1331">
        <f>(0.5*K41)+(0.5*K40)</f>
        <v>79</v>
      </c>
      <c r="L45" s="1332">
        <f t="shared" si="3"/>
        <v>7.3420074349442386</v>
      </c>
      <c r="M45" s="1331">
        <f>(0.5*M41)+(0.5*M40)</f>
        <v>302.5</v>
      </c>
      <c r="N45" s="1332">
        <f t="shared" si="4"/>
        <v>28.113382899628256</v>
      </c>
      <c r="O45" s="1331">
        <f>(0.5*O41)+(0.5*O40)</f>
        <v>552.5</v>
      </c>
      <c r="P45" s="1332">
        <f t="shared" si="5"/>
        <v>51.347583643122682</v>
      </c>
      <c r="Q45" s="1"/>
      <c r="R45" s="1088"/>
      <c r="S45" s="1088"/>
      <c r="T45" s="1229"/>
      <c r="U45" s="446"/>
      <c r="V45" s="446"/>
      <c r="W45" s="446"/>
      <c r="X45" s="446"/>
      <c r="Y45" s="446"/>
      <c r="Z45" s="446"/>
      <c r="AA45" s="446"/>
      <c r="AB45" s="446"/>
      <c r="AC45" s="446"/>
      <c r="AD45" s="446"/>
      <c r="AE45" s="446"/>
      <c r="AF45" s="446"/>
      <c r="AG45" s="446"/>
      <c r="AH45" s="1"/>
      <c r="AI45" s="1"/>
      <c r="AJ45" s="1"/>
      <c r="AK45" s="1"/>
    </row>
    <row r="46" spans="1:37" s="743" customFormat="1" ht="13" x14ac:dyDescent="0.3">
      <c r="A46" s="1"/>
      <c r="B46" s="1"/>
      <c r="C46" s="1"/>
      <c r="D46" s="1"/>
      <c r="E46" s="8"/>
      <c r="F46" s="64"/>
      <c r="G46" s="8"/>
      <c r="H46" s="8"/>
      <c r="I46" s="1"/>
      <c r="J46" s="1324"/>
      <c r="K46" s="1142"/>
      <c r="L46" s="1142"/>
      <c r="M46" s="1142"/>
      <c r="N46" s="1142"/>
      <c r="O46" s="1142"/>
      <c r="P46" s="1142"/>
      <c r="Q46" s="1142"/>
      <c r="R46" s="1142"/>
      <c r="S46" s="1"/>
      <c r="T46" s="1"/>
      <c r="U46" s="446"/>
      <c r="V46" s="446"/>
      <c r="W46" s="446"/>
      <c r="X46" s="446"/>
      <c r="Y46" s="446"/>
      <c r="Z46" s="446"/>
      <c r="AA46" s="446"/>
      <c r="AB46" s="446"/>
      <c r="AC46" s="446"/>
      <c r="AD46" s="446"/>
      <c r="AE46" s="446"/>
      <c r="AF46" s="446"/>
      <c r="AG46" s="446"/>
      <c r="AH46" s="1"/>
      <c r="AI46" s="1"/>
      <c r="AJ46" s="1"/>
      <c r="AK46" s="1"/>
    </row>
    <row r="47" spans="1:37" s="743" customFormat="1" ht="13" x14ac:dyDescent="0.3">
      <c r="A47" s="1"/>
      <c r="B47" s="1663"/>
      <c r="C47" s="1"/>
      <c r="D47" s="1636" t="s">
        <v>914</v>
      </c>
      <c r="E47" s="1637"/>
      <c r="F47" s="1637"/>
      <c r="G47" s="1637"/>
      <c r="H47" s="1638"/>
      <c r="I47" s="1"/>
      <c r="J47" s="927" t="s">
        <v>912</v>
      </c>
      <c r="K47" s="927"/>
      <c r="L47" s="927"/>
      <c r="M47" s="927"/>
      <c r="N47" s="927"/>
      <c r="O47" s="927"/>
      <c r="P47" s="927"/>
      <c r="Q47" s="1"/>
      <c r="R47" s="1127" t="s">
        <v>415</v>
      </c>
      <c r="S47" s="1325"/>
      <c r="T47" s="1"/>
      <c r="U47" s="446"/>
      <c r="V47" s="446"/>
      <c r="W47" s="446"/>
      <c r="X47" s="446"/>
      <c r="Y47" s="446"/>
      <c r="Z47" s="446"/>
      <c r="AA47" s="446"/>
      <c r="AB47" s="446"/>
      <c r="AC47" s="446"/>
      <c r="AD47" s="446"/>
      <c r="AE47" s="446"/>
      <c r="AF47" s="446"/>
      <c r="AG47" s="446"/>
      <c r="AH47" s="1"/>
      <c r="AI47" s="1"/>
      <c r="AJ47" s="1"/>
      <c r="AK47" s="1"/>
    </row>
    <row r="48" spans="1:37" s="743" customFormat="1" ht="13" x14ac:dyDescent="0.3">
      <c r="A48" s="1"/>
      <c r="B48" s="1663"/>
      <c r="C48" s="1"/>
      <c r="D48" s="843"/>
      <c r="E48" s="809"/>
      <c r="F48" s="810"/>
      <c r="G48" s="809"/>
      <c r="H48" s="811"/>
      <c r="I48" s="1"/>
      <c r="J48" s="927"/>
      <c r="K48" s="927"/>
      <c r="L48" s="927"/>
      <c r="M48" s="927"/>
      <c r="N48" s="927"/>
      <c r="O48" s="927"/>
      <c r="P48" s="927"/>
      <c r="Q48" s="1"/>
      <c r="R48" s="1127" t="s">
        <v>1066</v>
      </c>
      <c r="S48" s="1325"/>
      <c r="T48" s="1"/>
      <c r="U48" s="446"/>
      <c r="V48" s="446"/>
      <c r="W48" s="446"/>
      <c r="X48" s="446"/>
      <c r="Y48" s="446"/>
      <c r="Z48" s="446"/>
      <c r="AA48" s="446"/>
      <c r="AB48" s="446"/>
      <c r="AC48" s="446"/>
      <c r="AD48" s="446"/>
      <c r="AE48" s="446"/>
      <c r="AF48" s="446"/>
      <c r="AG48" s="446"/>
      <c r="AH48" s="1"/>
      <c r="AI48" s="1"/>
      <c r="AJ48" s="1"/>
      <c r="AK48" s="1"/>
    </row>
    <row r="49" spans="1:37" s="743" customFormat="1" ht="13" x14ac:dyDescent="0.3">
      <c r="A49" s="1"/>
      <c r="B49" s="1663"/>
      <c r="C49" s="1"/>
      <c r="D49" s="847"/>
      <c r="E49" s="1800" t="s">
        <v>1072</v>
      </c>
      <c r="F49" s="1800"/>
      <c r="G49" s="812"/>
      <c r="H49" s="817"/>
      <c r="I49" s="1"/>
      <c r="J49" s="927"/>
      <c r="K49" s="927"/>
      <c r="L49" s="927"/>
      <c r="M49" s="927"/>
      <c r="N49" s="927"/>
      <c r="O49" s="927"/>
      <c r="P49" s="927"/>
      <c r="Q49" s="1"/>
      <c r="R49" s="1127" t="s">
        <v>1195</v>
      </c>
      <c r="S49" s="1325"/>
      <c r="T49" s="1"/>
      <c r="U49" s="446"/>
      <c r="V49" s="446"/>
      <c r="W49" s="446"/>
      <c r="X49" s="446"/>
      <c r="Y49" s="446"/>
      <c r="Z49" s="446"/>
      <c r="AA49" s="446"/>
      <c r="AB49" s="446"/>
      <c r="AC49" s="446"/>
      <c r="AD49" s="446"/>
      <c r="AE49" s="446"/>
      <c r="AF49" s="446"/>
      <c r="AG49" s="446"/>
      <c r="AH49" s="1"/>
      <c r="AI49" s="1"/>
      <c r="AJ49" s="1"/>
      <c r="AK49" s="1"/>
    </row>
    <row r="50" spans="1:37" s="743" customFormat="1" ht="15.5" thickBot="1" x14ac:dyDescent="0.35">
      <c r="A50" s="1"/>
      <c r="B50" s="1663"/>
      <c r="C50" s="1"/>
      <c r="D50" s="847"/>
      <c r="E50" s="344" t="s">
        <v>412</v>
      </c>
      <c r="F50" s="361"/>
      <c r="G50" s="345" t="s">
        <v>413</v>
      </c>
      <c r="H50" s="813"/>
      <c r="I50" s="1"/>
      <c r="J50" s="927"/>
      <c r="K50" s="927"/>
      <c r="L50" s="927"/>
      <c r="M50" s="927"/>
      <c r="N50" s="927"/>
      <c r="O50" s="927"/>
      <c r="P50" s="927"/>
      <c r="Q50" s="1"/>
      <c r="R50" s="1127"/>
      <c r="S50" s="1325"/>
      <c r="T50" s="1"/>
      <c r="U50" s="446"/>
      <c r="V50" s="1"/>
      <c r="W50" s="1"/>
      <c r="X50" s="1"/>
      <c r="Y50" s="1"/>
      <c r="Z50" s="1"/>
      <c r="AA50" s="1"/>
      <c r="AB50" s="1"/>
      <c r="AC50" s="1"/>
      <c r="AD50" s="1"/>
      <c r="AE50" s="1"/>
      <c r="AF50" s="1"/>
      <c r="AG50" s="1"/>
      <c r="AH50" s="1"/>
      <c r="AI50" s="1"/>
      <c r="AJ50" s="1"/>
      <c r="AK50" s="1"/>
    </row>
    <row r="51" spans="1:37" s="743" customFormat="1" ht="15.5" thickBot="1" x14ac:dyDescent="0.35">
      <c r="A51" s="1"/>
      <c r="B51" s="1663"/>
      <c r="C51" s="1"/>
      <c r="D51" s="847"/>
      <c r="E51" s="816" t="s">
        <v>417</v>
      </c>
      <c r="F51" s="1242">
        <f>IFERROR(Embodied_Carbon_Total_Proposed/Area_Building,0)</f>
        <v>0</v>
      </c>
      <c r="G51" s="345" t="s">
        <v>883</v>
      </c>
      <c r="H51" s="813"/>
      <c r="I51" s="1"/>
      <c r="J51" s="927"/>
      <c r="K51" s="927"/>
      <c r="L51" s="927"/>
      <c r="M51" s="927"/>
      <c r="N51" s="927"/>
      <c r="O51" s="927"/>
      <c r="P51" s="927"/>
      <c r="Q51" s="1"/>
      <c r="R51" s="1325"/>
      <c r="S51" s="1325"/>
      <c r="T51" s="1"/>
      <c r="U51" s="446"/>
      <c r="V51" s="1"/>
      <c r="W51" s="1"/>
      <c r="X51" s="1"/>
      <c r="Y51" s="1"/>
      <c r="Z51" s="1"/>
      <c r="AA51" s="1"/>
      <c r="AB51" s="1"/>
      <c r="AC51" s="1"/>
      <c r="AD51" s="1"/>
      <c r="AE51" s="1"/>
      <c r="AF51" s="1"/>
      <c r="AG51" s="1"/>
      <c r="AH51" s="1"/>
      <c r="AI51" s="1"/>
      <c r="AJ51" s="1"/>
      <c r="AK51" s="1"/>
    </row>
    <row r="52" spans="1:37" s="743" customFormat="1" ht="14.4" customHeight="1" x14ac:dyDescent="0.3">
      <c r="A52" s="1"/>
      <c r="B52" s="1663"/>
      <c r="C52" s="1"/>
      <c r="D52" s="847"/>
      <c r="E52" s="821"/>
      <c r="F52" s="822"/>
      <c r="G52" s="821"/>
      <c r="H52" s="813"/>
      <c r="I52" s="1"/>
      <c r="J52" s="927"/>
      <c r="K52" s="927"/>
      <c r="L52" s="927"/>
      <c r="M52" s="927"/>
      <c r="N52" s="927"/>
      <c r="O52" s="927"/>
      <c r="P52" s="927"/>
      <c r="Q52" s="1"/>
      <c r="R52" s="1127"/>
      <c r="S52" s="1088"/>
      <c r="T52" s="1"/>
      <c r="U52" s="1338"/>
      <c r="V52" s="1"/>
      <c r="W52" s="1"/>
      <c r="X52" s="1"/>
      <c r="Y52" s="1"/>
      <c r="Z52" s="1"/>
      <c r="AA52" s="1"/>
      <c r="AB52" s="1"/>
      <c r="AC52" s="1"/>
      <c r="AD52" s="1"/>
      <c r="AE52" s="1"/>
      <c r="AF52" s="1"/>
      <c r="AG52" s="1"/>
      <c r="AH52" s="1"/>
      <c r="AI52" s="1"/>
      <c r="AJ52" s="1"/>
      <c r="AK52" s="1"/>
    </row>
    <row r="53" spans="1:37" s="743" customFormat="1" ht="14.4" customHeight="1" x14ac:dyDescent="0.3">
      <c r="A53" s="1"/>
      <c r="B53" s="1663"/>
      <c r="C53" s="1"/>
      <c r="D53" s="847"/>
      <c r="E53" s="821"/>
      <c r="F53" s="822"/>
      <c r="G53" s="821"/>
      <c r="H53" s="813"/>
      <c r="I53" s="1"/>
      <c r="J53" s="927"/>
      <c r="K53" s="927"/>
      <c r="L53" s="927"/>
      <c r="M53" s="927"/>
      <c r="N53" s="927"/>
      <c r="O53" s="927"/>
      <c r="P53" s="927"/>
      <c r="Q53" s="1"/>
      <c r="R53" s="1127"/>
      <c r="S53" s="1088"/>
      <c r="T53" s="1"/>
      <c r="U53" s="1338"/>
      <c r="V53" s="1"/>
      <c r="W53" s="1"/>
      <c r="X53" s="1"/>
      <c r="Y53" s="1"/>
      <c r="Z53" s="1"/>
      <c r="AA53" s="1"/>
      <c r="AB53" s="1"/>
      <c r="AC53" s="1"/>
      <c r="AD53" s="1"/>
      <c r="AE53" s="1"/>
      <c r="AF53" s="1"/>
      <c r="AG53" s="1"/>
      <c r="AH53" s="1"/>
      <c r="AI53" s="1"/>
      <c r="AJ53" s="1"/>
      <c r="AK53" s="1"/>
    </row>
    <row r="54" spans="1:37" s="743" customFormat="1" ht="13" x14ac:dyDescent="0.3">
      <c r="A54" s="1"/>
      <c r="B54" s="1663"/>
      <c r="C54" s="1"/>
      <c r="D54" s="847"/>
      <c r="E54" s="1249" t="s">
        <v>833</v>
      </c>
      <c r="F54" s="1339"/>
      <c r="G54" s="850"/>
      <c r="H54" s="813"/>
      <c r="I54" s="1"/>
      <c r="J54" s="927"/>
      <c r="K54" s="927"/>
      <c r="L54" s="927"/>
      <c r="M54" s="927"/>
      <c r="N54" s="927"/>
      <c r="O54" s="927"/>
      <c r="P54" s="927"/>
      <c r="Q54" s="1"/>
      <c r="R54" s="1088"/>
      <c r="S54" s="1088"/>
      <c r="T54" s="1"/>
      <c r="U54" s="1334"/>
      <c r="V54" s="1"/>
      <c r="W54" s="1"/>
      <c r="X54" s="1"/>
      <c r="Y54" s="1"/>
      <c r="Z54" s="1"/>
      <c r="AA54" s="1"/>
      <c r="AB54" s="1"/>
      <c r="AC54" s="1"/>
      <c r="AD54" s="1"/>
      <c r="AE54" s="1"/>
      <c r="AF54" s="1"/>
      <c r="AG54" s="1"/>
      <c r="AH54" s="1"/>
      <c r="AI54" s="1"/>
      <c r="AJ54" s="1"/>
      <c r="AK54" s="1"/>
    </row>
    <row r="55" spans="1:37" s="743" customFormat="1" ht="13" x14ac:dyDescent="0.3">
      <c r="A55" s="1"/>
      <c r="B55" s="1663"/>
      <c r="C55" s="1"/>
      <c r="D55" s="847"/>
      <c r="E55" s="344" t="s">
        <v>826</v>
      </c>
      <c r="F55" s="358"/>
      <c r="G55" s="1285" t="s">
        <v>687</v>
      </c>
      <c r="H55" s="813"/>
      <c r="I55" s="1"/>
      <c r="J55" s="927"/>
      <c r="K55" s="927"/>
      <c r="L55" s="927"/>
      <c r="M55" s="927"/>
      <c r="N55" s="927"/>
      <c r="O55" s="927"/>
      <c r="P55" s="927"/>
      <c r="Q55" s="1"/>
      <c r="R55" s="1127"/>
      <c r="S55" s="1088"/>
      <c r="T55" s="1"/>
      <c r="U55" s="1334"/>
      <c r="V55" s="1"/>
      <c r="W55" s="1"/>
      <c r="X55" s="1"/>
      <c r="Y55" s="1"/>
      <c r="Z55" s="1"/>
      <c r="AA55" s="1"/>
      <c r="AB55" s="1"/>
      <c r="AC55" s="1"/>
      <c r="AD55" s="1"/>
      <c r="AE55" s="1"/>
      <c r="AF55" s="1"/>
      <c r="AG55" s="1"/>
      <c r="AH55" s="1"/>
      <c r="AI55" s="1"/>
      <c r="AJ55" s="1"/>
      <c r="AK55" s="1"/>
    </row>
    <row r="56" spans="1:37" s="743" customFormat="1" ht="13" x14ac:dyDescent="0.3">
      <c r="A56" s="1"/>
      <c r="B56" s="1663"/>
      <c r="C56" s="1"/>
      <c r="D56" s="847"/>
      <c r="E56" s="344" t="s">
        <v>827</v>
      </c>
      <c r="F56" s="15"/>
      <c r="G56" s="1285" t="s">
        <v>687</v>
      </c>
      <c r="H56" s="813"/>
      <c r="I56" s="1"/>
      <c r="J56" s="927"/>
      <c r="K56" s="927"/>
      <c r="L56" s="927"/>
      <c r="M56" s="927"/>
      <c r="N56" s="927"/>
      <c r="O56" s="927"/>
      <c r="P56" s="927"/>
      <c r="Q56" s="1"/>
      <c r="R56" s="1088"/>
      <c r="S56" s="1088"/>
      <c r="T56" s="1"/>
      <c r="U56" s="446"/>
      <c r="V56" s="1"/>
      <c r="W56" s="1"/>
      <c r="X56" s="1"/>
      <c r="Y56" s="1"/>
      <c r="Z56" s="1"/>
      <c r="AA56" s="1"/>
      <c r="AB56" s="1"/>
      <c r="AC56" s="1"/>
      <c r="AD56" s="1"/>
      <c r="AE56" s="1"/>
      <c r="AF56" s="1"/>
      <c r="AG56" s="1"/>
      <c r="AH56" s="1"/>
      <c r="AI56" s="1"/>
      <c r="AJ56" s="1"/>
      <c r="AK56" s="1"/>
    </row>
    <row r="57" spans="1:37" s="743" customFormat="1" ht="13" x14ac:dyDescent="0.3">
      <c r="A57" s="1"/>
      <c r="B57" s="1663"/>
      <c r="C57" s="1"/>
      <c r="D57" s="847"/>
      <c r="E57" s="344" t="s">
        <v>828</v>
      </c>
      <c r="F57" s="5"/>
      <c r="G57" s="1285" t="s">
        <v>687</v>
      </c>
      <c r="H57" s="813"/>
      <c r="I57" s="1"/>
      <c r="J57" s="927"/>
      <c r="K57" s="927"/>
      <c r="L57" s="927"/>
      <c r="M57" s="927"/>
      <c r="N57" s="927"/>
      <c r="O57" s="927"/>
      <c r="P57" s="927"/>
      <c r="Q57" s="1"/>
      <c r="R57" s="1088"/>
      <c r="S57" s="1088"/>
      <c r="T57" s="1"/>
      <c r="V57" s="1"/>
      <c r="W57" s="1"/>
      <c r="X57" s="1"/>
      <c r="Y57" s="1"/>
      <c r="Z57" s="1"/>
      <c r="AA57" s="1"/>
      <c r="AB57" s="1"/>
      <c r="AC57" s="1"/>
      <c r="AD57" s="1"/>
      <c r="AE57" s="1"/>
      <c r="AF57" s="1"/>
      <c r="AG57" s="1"/>
      <c r="AH57" s="1"/>
      <c r="AI57" s="1"/>
      <c r="AJ57" s="1"/>
      <c r="AK57" s="1"/>
    </row>
    <row r="58" spans="1:37" s="743" customFormat="1" ht="13" x14ac:dyDescent="0.3">
      <c r="A58" s="1"/>
      <c r="B58" s="1663"/>
      <c r="C58" s="1"/>
      <c r="D58" s="847"/>
      <c r="E58" s="344" t="s">
        <v>829</v>
      </c>
      <c r="F58" s="5"/>
      <c r="G58" s="1285" t="s">
        <v>687</v>
      </c>
      <c r="H58" s="813"/>
      <c r="I58" s="1"/>
      <c r="J58" s="927"/>
      <c r="K58" s="927"/>
      <c r="L58" s="927"/>
      <c r="M58" s="927"/>
      <c r="N58" s="927"/>
      <c r="O58" s="927"/>
      <c r="P58" s="927"/>
      <c r="Q58" s="1"/>
      <c r="R58" s="1088"/>
      <c r="S58" s="1088"/>
      <c r="T58" s="1"/>
      <c r="U58" s="1338"/>
      <c r="V58" s="1"/>
      <c r="W58" s="1"/>
      <c r="X58" s="1"/>
      <c r="Y58" s="1"/>
      <c r="Z58" s="1"/>
      <c r="AA58" s="1"/>
      <c r="AB58" s="1"/>
      <c r="AC58" s="1"/>
      <c r="AD58" s="1"/>
      <c r="AE58" s="1"/>
      <c r="AF58" s="1"/>
      <c r="AG58" s="1"/>
      <c r="AH58" s="1"/>
      <c r="AI58" s="1"/>
      <c r="AJ58" s="1"/>
      <c r="AK58" s="1"/>
    </row>
    <row r="59" spans="1:37" s="743" customFormat="1" ht="13" x14ac:dyDescent="0.3">
      <c r="A59" s="1"/>
      <c r="B59" s="1663"/>
      <c r="C59" s="1"/>
      <c r="D59" s="847"/>
      <c r="E59" s="344" t="s">
        <v>830</v>
      </c>
      <c r="F59" s="5"/>
      <c r="G59" s="1285" t="s">
        <v>687</v>
      </c>
      <c r="H59" s="813"/>
      <c r="I59" s="1"/>
      <c r="J59" s="927"/>
      <c r="K59" s="927"/>
      <c r="L59" s="927"/>
      <c r="M59" s="927"/>
      <c r="N59" s="927"/>
      <c r="O59" s="927"/>
      <c r="P59" s="927"/>
      <c r="Q59" s="1"/>
      <c r="R59" s="1088"/>
      <c r="S59" s="1088"/>
      <c r="T59" s="1"/>
      <c r="U59" s="1335"/>
      <c r="V59" s="1"/>
      <c r="W59" s="1"/>
      <c r="X59" s="1"/>
      <c r="Y59" s="1"/>
      <c r="Z59" s="1"/>
      <c r="AA59" s="1"/>
      <c r="AB59" s="1"/>
      <c r="AC59" s="1"/>
      <c r="AD59" s="1"/>
      <c r="AE59" s="1"/>
      <c r="AF59" s="1"/>
      <c r="AG59" s="1"/>
      <c r="AH59" s="1"/>
      <c r="AI59" s="1"/>
      <c r="AJ59" s="1"/>
      <c r="AK59" s="1"/>
    </row>
    <row r="60" spans="1:37" s="743" customFormat="1" ht="13" x14ac:dyDescent="0.3">
      <c r="A60" s="1"/>
      <c r="B60" s="1663"/>
      <c r="C60" s="1"/>
      <c r="D60" s="847"/>
      <c r="E60" s="344" t="s">
        <v>831</v>
      </c>
      <c r="F60" s="5"/>
      <c r="G60" s="1285" t="s">
        <v>687</v>
      </c>
      <c r="H60" s="813"/>
      <c r="I60" s="1"/>
      <c r="J60" s="927"/>
      <c r="K60" s="927"/>
      <c r="L60" s="927"/>
      <c r="M60" s="927"/>
      <c r="N60" s="927"/>
      <c r="O60" s="927"/>
      <c r="P60" s="927"/>
      <c r="Q60" s="1"/>
      <c r="R60" s="1088"/>
      <c r="S60" s="1088"/>
      <c r="T60" s="1"/>
      <c r="U60" s="1336"/>
      <c r="V60" s="1"/>
      <c r="W60" s="1"/>
      <c r="X60" s="1"/>
      <c r="Y60" s="1"/>
      <c r="Z60" s="1"/>
      <c r="AA60" s="1"/>
      <c r="AB60" s="1"/>
      <c r="AC60" s="1"/>
      <c r="AD60" s="1"/>
      <c r="AE60" s="1"/>
      <c r="AF60" s="1"/>
      <c r="AG60" s="1"/>
      <c r="AH60" s="1"/>
      <c r="AI60" s="1"/>
      <c r="AJ60" s="1"/>
      <c r="AK60" s="1"/>
    </row>
    <row r="61" spans="1:37" s="743" customFormat="1" ht="13" x14ac:dyDescent="0.3">
      <c r="A61" s="1"/>
      <c r="B61" s="1663"/>
      <c r="C61" s="1"/>
      <c r="D61" s="847"/>
      <c r="E61" s="344" t="s">
        <v>832</v>
      </c>
      <c r="F61" s="5"/>
      <c r="G61" s="1285" t="s">
        <v>687</v>
      </c>
      <c r="H61" s="813"/>
      <c r="I61" s="1"/>
      <c r="J61" s="927"/>
      <c r="K61" s="927"/>
      <c r="L61" s="927"/>
      <c r="M61" s="927"/>
      <c r="N61" s="927"/>
      <c r="O61" s="927"/>
      <c r="P61" s="927"/>
      <c r="Q61" s="1"/>
      <c r="R61" s="1088"/>
      <c r="S61" s="1088"/>
      <c r="T61" s="1"/>
      <c r="U61" s="446"/>
      <c r="V61" s="1"/>
      <c r="W61" s="1"/>
      <c r="X61" s="1"/>
      <c r="Y61" s="1"/>
      <c r="Z61" s="1"/>
      <c r="AA61" s="1"/>
      <c r="AB61" s="1"/>
      <c r="AC61" s="1"/>
      <c r="AD61" s="1"/>
      <c r="AE61" s="1"/>
      <c r="AF61" s="1"/>
      <c r="AG61" s="1"/>
      <c r="AH61" s="1"/>
      <c r="AI61" s="1"/>
      <c r="AJ61" s="1"/>
      <c r="AK61" s="1"/>
    </row>
    <row r="62" spans="1:37" s="743" customFormat="1" ht="13.5" thickBot="1" x14ac:dyDescent="0.35">
      <c r="A62" s="1"/>
      <c r="B62" s="1663"/>
      <c r="C62" s="1"/>
      <c r="D62" s="847"/>
      <c r="E62" s="317" t="s">
        <v>189</v>
      </c>
      <c r="F62" s="341"/>
      <c r="G62" s="1285"/>
      <c r="H62" s="813"/>
      <c r="I62" s="1"/>
      <c r="J62" s="927"/>
      <c r="K62" s="927"/>
      <c r="L62" s="927"/>
      <c r="M62" s="927"/>
      <c r="N62" s="927"/>
      <c r="O62" s="927"/>
      <c r="P62" s="927"/>
      <c r="Q62" s="1"/>
      <c r="R62" s="1088"/>
      <c r="S62" s="1088"/>
      <c r="T62" s="1"/>
      <c r="U62" s="446"/>
      <c r="V62" s="1"/>
      <c r="W62" s="1"/>
      <c r="X62" s="1"/>
      <c r="Y62" s="1"/>
      <c r="Z62" s="1"/>
      <c r="AA62" s="1"/>
      <c r="AB62" s="1"/>
      <c r="AC62" s="1"/>
      <c r="AD62" s="1"/>
      <c r="AE62" s="1"/>
      <c r="AF62" s="1"/>
      <c r="AG62" s="1"/>
      <c r="AH62" s="1"/>
      <c r="AI62" s="1"/>
      <c r="AJ62" s="1"/>
      <c r="AK62" s="1"/>
    </row>
    <row r="63" spans="1:37" s="743" customFormat="1" ht="13.5" thickBot="1" x14ac:dyDescent="0.35">
      <c r="A63" s="1"/>
      <c r="B63" s="1663"/>
      <c r="C63" s="1"/>
      <c r="D63" s="847"/>
      <c r="E63" s="816" t="s">
        <v>825</v>
      </c>
      <c r="F63" s="1340">
        <f>IFERROR(COUNTIF(F55:F62, "Yes")/ROWS(F55:F62),"")</f>
        <v>0</v>
      </c>
      <c r="G63" s="11"/>
      <c r="H63" s="813"/>
      <c r="I63" s="1"/>
      <c r="J63" s="927"/>
      <c r="K63" s="927"/>
      <c r="L63" s="927"/>
      <c r="M63" s="927"/>
      <c r="N63" s="927"/>
      <c r="O63" s="927"/>
      <c r="P63" s="927"/>
      <c r="Q63" s="1"/>
      <c r="R63" s="1088"/>
      <c r="S63" s="1088"/>
      <c r="T63" s="1"/>
      <c r="U63" s="446"/>
      <c r="V63" s="1"/>
      <c r="W63" s="1"/>
      <c r="X63" s="1"/>
      <c r="Y63" s="1"/>
      <c r="Z63" s="1"/>
      <c r="AA63" s="1"/>
      <c r="AB63" s="1"/>
      <c r="AC63" s="1"/>
      <c r="AD63" s="1"/>
      <c r="AE63" s="1"/>
      <c r="AF63" s="1"/>
      <c r="AG63" s="1"/>
      <c r="AH63" s="1"/>
      <c r="AI63" s="1"/>
      <c r="AJ63" s="1"/>
      <c r="AK63" s="1"/>
    </row>
    <row r="64" spans="1:37" s="743" customFormat="1" ht="13" x14ac:dyDescent="0.3">
      <c r="A64" s="1"/>
      <c r="B64" s="1663"/>
      <c r="C64" s="447"/>
      <c r="D64" s="1180"/>
      <c r="E64" s="818"/>
      <c r="F64" s="819"/>
      <c r="G64" s="947"/>
      <c r="H64" s="841"/>
      <c r="I64" s="1229"/>
      <c r="J64" s="927"/>
      <c r="K64" s="927"/>
      <c r="L64" s="927"/>
      <c r="M64" s="927"/>
      <c r="N64" s="927"/>
      <c r="O64" s="927"/>
      <c r="P64" s="927"/>
      <c r="Q64" s="1"/>
      <c r="R64" s="1088"/>
      <c r="S64" s="1088"/>
      <c r="T64" s="1229"/>
      <c r="U64" s="1229"/>
      <c r="V64" s="1229"/>
      <c r="W64" s="1"/>
      <c r="X64" s="1"/>
      <c r="Y64" s="1"/>
      <c r="Z64" s="1"/>
      <c r="AA64" s="1"/>
      <c r="AB64" s="1"/>
      <c r="AC64" s="1"/>
      <c r="AD64" s="1"/>
      <c r="AE64" s="1"/>
      <c r="AF64" s="1"/>
      <c r="AG64" s="1"/>
      <c r="AH64" s="1"/>
      <c r="AI64" s="1"/>
      <c r="AJ64" s="1"/>
      <c r="AK64" s="1"/>
    </row>
    <row r="65" spans="1:37" s="743" customFormat="1" x14ac:dyDescent="0.35">
      <c r="A65" s="1"/>
      <c r="B65" s="447"/>
      <c r="C65" s="1"/>
      <c r="D65" s="1"/>
      <c r="E65" s="484"/>
      <c r="F65" s="1277"/>
      <c r="G65" s="484"/>
      <c r="H65" s="484"/>
      <c r="I65" s="484"/>
      <c r="J65" s="484"/>
      <c r="K65" s="484"/>
      <c r="L65" s="484"/>
      <c r="M65" s="484"/>
      <c r="N65" s="484"/>
      <c r="O65" s="484"/>
      <c r="P65" s="484"/>
      <c r="Q65" s="1"/>
      <c r="R65" s="484"/>
      <c r="S65" s="484"/>
      <c r="T65" s="484"/>
      <c r="U65" s="484"/>
      <c r="V65" s="484"/>
      <c r="W65" s="484"/>
      <c r="X65" s="1"/>
      <c r="Y65" s="1"/>
      <c r="Z65" s="1"/>
      <c r="AA65" s="1"/>
      <c r="AB65" s="1"/>
      <c r="AC65" s="1"/>
      <c r="AD65" s="1"/>
      <c r="AE65" s="1"/>
      <c r="AF65" s="1"/>
      <c r="AG65" s="1"/>
      <c r="AH65" s="1"/>
      <c r="AI65" s="1"/>
      <c r="AJ65" s="1"/>
      <c r="AK65" s="1"/>
    </row>
    <row r="66" spans="1:37" s="743" customFormat="1" ht="14.4" customHeight="1" x14ac:dyDescent="0.3">
      <c r="A66" s="1"/>
      <c r="B66" s="1663" t="s">
        <v>840</v>
      </c>
      <c r="C66" s="1"/>
      <c r="D66" s="1656" t="s">
        <v>860</v>
      </c>
      <c r="E66" s="1657"/>
      <c r="F66" s="1657"/>
      <c r="G66" s="1657"/>
      <c r="H66" s="1658"/>
      <c r="I66" s="1"/>
      <c r="J66" s="1801" t="s">
        <v>443</v>
      </c>
      <c r="K66" s="1801"/>
      <c r="L66" s="1801"/>
      <c r="M66" s="1801"/>
      <c r="N66" s="1801"/>
      <c r="O66" s="1801"/>
      <c r="P66" s="1801"/>
      <c r="Q66" s="1"/>
      <c r="R66" s="1127" t="str">
        <f>HYPERLINK("https://www.environdec.com/","Environmental Product Declaration (EPD)")</f>
        <v>Environmental Product Declaration (EPD)</v>
      </c>
      <c r="S66" s="1088"/>
      <c r="T66" s="1"/>
      <c r="U66" s="446"/>
      <c r="V66" s="1"/>
      <c r="W66" s="1"/>
      <c r="X66" s="1"/>
      <c r="Y66" s="1"/>
      <c r="Z66" s="1"/>
      <c r="AA66" s="1"/>
      <c r="AB66" s="1"/>
      <c r="AC66" s="1"/>
      <c r="AD66" s="1"/>
      <c r="AE66" s="1"/>
      <c r="AF66" s="1"/>
      <c r="AG66" s="1"/>
      <c r="AH66" s="1"/>
      <c r="AI66" s="1"/>
      <c r="AJ66" s="1"/>
      <c r="AK66" s="1"/>
    </row>
    <row r="67" spans="1:37" s="743" customFormat="1" ht="13" x14ac:dyDescent="0.3">
      <c r="A67" s="1"/>
      <c r="B67" s="1663"/>
      <c r="C67" s="1"/>
      <c r="D67" s="1089"/>
      <c r="E67" s="1300"/>
      <c r="F67" s="1301"/>
      <c r="G67" s="1300"/>
      <c r="H67" s="1189"/>
      <c r="I67" s="1"/>
      <c r="J67" s="1801"/>
      <c r="K67" s="1801"/>
      <c r="L67" s="1801"/>
      <c r="M67" s="1801"/>
      <c r="N67" s="1801"/>
      <c r="O67" s="1801"/>
      <c r="P67" s="1801"/>
      <c r="Q67" s="1"/>
      <c r="R67" s="1088"/>
      <c r="S67" s="1088"/>
      <c r="T67" s="1"/>
      <c r="U67" s="446"/>
      <c r="V67" s="1"/>
      <c r="W67" s="1"/>
      <c r="X67" s="1"/>
      <c r="Y67" s="1"/>
      <c r="Z67" s="1"/>
      <c r="AA67" s="1"/>
      <c r="AB67" s="1"/>
      <c r="AC67" s="1"/>
      <c r="AD67" s="1"/>
      <c r="AE67" s="1"/>
      <c r="AF67" s="1"/>
      <c r="AG67" s="1"/>
      <c r="AH67" s="1"/>
      <c r="AI67" s="1"/>
      <c r="AJ67" s="1"/>
      <c r="AK67" s="1"/>
    </row>
    <row r="68" spans="1:37" s="743" customFormat="1" ht="13" x14ac:dyDescent="0.3">
      <c r="A68" s="1"/>
      <c r="B68" s="1663"/>
      <c r="C68" s="1"/>
      <c r="D68" s="1091"/>
      <c r="E68" s="1341" t="s">
        <v>861</v>
      </c>
      <c r="F68" s="788" t="s">
        <v>798</v>
      </c>
      <c r="G68" s="1219"/>
      <c r="H68" s="880"/>
      <c r="I68" s="1"/>
      <c r="J68" s="1000"/>
      <c r="K68" s="1000"/>
      <c r="L68" s="1000"/>
      <c r="M68" s="1000"/>
      <c r="N68" s="1000"/>
      <c r="O68" s="1000"/>
      <c r="P68" s="1000"/>
      <c r="Q68" s="1"/>
      <c r="R68" s="1088"/>
      <c r="S68" s="1088"/>
      <c r="T68" s="1"/>
      <c r="U68" s="446"/>
      <c r="V68" s="1"/>
      <c r="W68" s="1"/>
      <c r="X68" s="1"/>
      <c r="Y68" s="1"/>
      <c r="Z68" s="1"/>
      <c r="AA68" s="1"/>
      <c r="AB68" s="1"/>
      <c r="AC68" s="1"/>
      <c r="AD68" s="1"/>
      <c r="AE68" s="1"/>
      <c r="AF68" s="1"/>
      <c r="AG68" s="1"/>
      <c r="AH68" s="1"/>
      <c r="AI68" s="1"/>
      <c r="AJ68" s="1"/>
      <c r="AK68" s="1"/>
    </row>
    <row r="69" spans="1:37" s="743" customFormat="1" ht="13" x14ac:dyDescent="0.3">
      <c r="A69" s="1"/>
      <c r="B69" s="1663"/>
      <c r="C69" s="1"/>
      <c r="D69" s="1091"/>
      <c r="E69" s="869" t="s">
        <v>835</v>
      </c>
      <c r="F69" s="358"/>
      <c r="G69" s="1219"/>
      <c r="H69" s="880"/>
      <c r="I69" s="1"/>
      <c r="J69" s="1000"/>
      <c r="K69" s="1000"/>
      <c r="L69" s="1000"/>
      <c r="M69" s="1000"/>
      <c r="N69" s="1000"/>
      <c r="O69" s="1000"/>
      <c r="P69" s="1000"/>
      <c r="Q69" s="1"/>
      <c r="R69" s="1088"/>
      <c r="S69" s="1088"/>
      <c r="T69" s="1"/>
      <c r="U69" s="446"/>
      <c r="V69" s="1"/>
      <c r="W69" s="1"/>
      <c r="X69" s="1"/>
      <c r="Y69" s="1"/>
      <c r="Z69" s="1"/>
      <c r="AA69" s="1"/>
      <c r="AB69" s="1"/>
      <c r="AC69" s="1"/>
      <c r="AD69" s="1"/>
      <c r="AE69" s="1"/>
      <c r="AF69" s="1"/>
      <c r="AG69" s="1"/>
      <c r="AH69" s="1"/>
      <c r="AI69" s="1"/>
      <c r="AJ69" s="1"/>
      <c r="AK69" s="1"/>
    </row>
    <row r="70" spans="1:37" s="743" customFormat="1" ht="13" x14ac:dyDescent="0.3">
      <c r="A70" s="1"/>
      <c r="B70" s="1663"/>
      <c r="C70" s="1"/>
      <c r="D70" s="1091"/>
      <c r="E70" s="869" t="s">
        <v>836</v>
      </c>
      <c r="F70" s="358"/>
      <c r="G70" s="1219"/>
      <c r="H70" s="880"/>
      <c r="I70" s="1"/>
      <c r="J70" s="1000"/>
      <c r="K70" s="1000"/>
      <c r="L70" s="1000"/>
      <c r="M70" s="1000"/>
      <c r="N70" s="1000"/>
      <c r="O70" s="1000"/>
      <c r="P70" s="1000"/>
      <c r="Q70" s="1"/>
      <c r="R70" s="1088"/>
      <c r="S70" s="1088"/>
      <c r="T70" s="1"/>
      <c r="U70" s="446"/>
      <c r="V70" s="1"/>
      <c r="W70" s="1"/>
      <c r="X70" s="1"/>
      <c r="Y70" s="1"/>
      <c r="Z70" s="1"/>
      <c r="AA70" s="1"/>
      <c r="AB70" s="1"/>
      <c r="AC70" s="1"/>
      <c r="AD70" s="1"/>
      <c r="AE70" s="1"/>
      <c r="AF70" s="1"/>
      <c r="AG70" s="1"/>
      <c r="AH70" s="1"/>
      <c r="AI70" s="1"/>
      <c r="AJ70" s="1"/>
      <c r="AK70" s="1"/>
    </row>
    <row r="71" spans="1:37" s="743" customFormat="1" ht="13.5" thickBot="1" x14ac:dyDescent="0.35">
      <c r="A71" s="1"/>
      <c r="B71" s="1663"/>
      <c r="C71" s="1"/>
      <c r="D71" s="1091"/>
      <c r="E71" s="869" t="s">
        <v>837</v>
      </c>
      <c r="F71" s="358"/>
      <c r="G71" s="1219"/>
      <c r="H71" s="880"/>
      <c r="I71" s="1"/>
      <c r="J71" s="1000"/>
      <c r="K71" s="1000"/>
      <c r="L71" s="1000"/>
      <c r="M71" s="1000"/>
      <c r="N71" s="1000"/>
      <c r="O71" s="1000"/>
      <c r="P71" s="1000"/>
      <c r="Q71" s="1"/>
      <c r="R71" s="1088"/>
      <c r="S71" s="1088"/>
      <c r="T71" s="1"/>
      <c r="U71" s="446"/>
      <c r="V71" s="1"/>
      <c r="W71" s="1"/>
      <c r="X71" s="1"/>
      <c r="Y71" s="1"/>
      <c r="Z71" s="1"/>
      <c r="AA71" s="1"/>
      <c r="AB71" s="1"/>
      <c r="AC71" s="1"/>
      <c r="AD71" s="1"/>
      <c r="AE71" s="1"/>
      <c r="AF71" s="1"/>
      <c r="AG71" s="1"/>
      <c r="AH71" s="1"/>
      <c r="AI71" s="1"/>
      <c r="AJ71" s="1"/>
      <c r="AK71" s="1"/>
    </row>
    <row r="72" spans="1:37" s="743" customFormat="1" ht="13.5" thickBot="1" x14ac:dyDescent="0.35">
      <c r="A72" s="1"/>
      <c r="B72" s="1663"/>
      <c r="C72" s="1"/>
      <c r="D72" s="1091"/>
      <c r="E72" s="874" t="s">
        <v>862</v>
      </c>
      <c r="F72" s="1305">
        <f>SUM(F69:F71)</f>
        <v>0</v>
      </c>
      <c r="G72" s="1219"/>
      <c r="H72" s="880"/>
      <c r="I72" s="1"/>
      <c r="J72" s="1000"/>
      <c r="K72" s="1000"/>
      <c r="L72" s="1000"/>
      <c r="M72" s="1000"/>
      <c r="N72" s="1000"/>
      <c r="O72" s="1000"/>
      <c r="P72" s="1000"/>
      <c r="Q72" s="1"/>
      <c r="R72" s="1088"/>
      <c r="S72" s="1088"/>
      <c r="T72" s="1"/>
      <c r="U72" s="446"/>
      <c r="V72" s="1"/>
      <c r="W72" s="1"/>
      <c r="X72" s="1"/>
      <c r="Y72" s="1"/>
      <c r="Z72" s="1"/>
      <c r="AA72" s="1"/>
      <c r="AB72" s="1"/>
      <c r="AC72" s="1"/>
      <c r="AD72" s="1"/>
      <c r="AE72" s="1"/>
      <c r="AF72" s="1"/>
      <c r="AG72" s="1"/>
      <c r="AH72" s="1"/>
      <c r="AI72" s="1"/>
      <c r="AJ72" s="1"/>
      <c r="AK72" s="1"/>
    </row>
    <row r="73" spans="1:37" s="743" customFormat="1" ht="13" x14ac:dyDescent="0.3">
      <c r="A73" s="1"/>
      <c r="B73" s="1663"/>
      <c r="C73" s="1"/>
      <c r="D73" s="1094"/>
      <c r="E73" s="1274"/>
      <c r="F73" s="1314"/>
      <c r="G73" s="1274"/>
      <c r="H73" s="1275"/>
      <c r="I73" s="1"/>
      <c r="J73" s="1088"/>
      <c r="K73" s="1088"/>
      <c r="L73" s="1088"/>
      <c r="M73" s="1088"/>
      <c r="N73" s="1088"/>
      <c r="O73" s="1088"/>
      <c r="P73" s="1088"/>
      <c r="Q73" s="1"/>
      <c r="R73" s="1088"/>
      <c r="S73" s="1088"/>
      <c r="T73" s="1"/>
      <c r="U73" s="446"/>
      <c r="V73" s="1"/>
      <c r="W73" s="1"/>
      <c r="X73" s="1"/>
      <c r="Y73" s="1"/>
      <c r="Z73" s="1"/>
      <c r="AA73" s="1"/>
      <c r="AB73" s="1"/>
      <c r="AC73" s="1"/>
      <c r="AD73" s="1"/>
      <c r="AE73" s="1"/>
      <c r="AF73" s="1"/>
      <c r="AG73" s="1"/>
      <c r="AH73" s="1"/>
      <c r="AI73" s="1"/>
      <c r="AJ73" s="1"/>
      <c r="AK73" s="1"/>
    </row>
    <row r="74" spans="1:37" s="743" customFormat="1" ht="13" x14ac:dyDescent="0.3">
      <c r="A74" s="275"/>
      <c r="B74" s="275"/>
      <c r="C74" s="275"/>
      <c r="D74" s="275"/>
      <c r="E74" s="275"/>
      <c r="F74" s="288"/>
      <c r="G74" s="275"/>
      <c r="H74" s="275"/>
      <c r="I74" s="1"/>
      <c r="J74" s="1"/>
      <c r="K74" s="1"/>
      <c r="L74" s="1"/>
      <c r="M74" s="1"/>
      <c r="N74" s="1"/>
      <c r="O74" s="1"/>
      <c r="P74" s="1"/>
      <c r="Q74" s="1"/>
      <c r="R74" s="1"/>
      <c r="S74" s="1"/>
      <c r="T74" s="1"/>
      <c r="U74" s="446"/>
      <c r="V74" s="1"/>
      <c r="W74" s="1"/>
      <c r="X74" s="1"/>
      <c r="Y74" s="1"/>
      <c r="Z74" s="1"/>
      <c r="AA74" s="1"/>
      <c r="AB74" s="1"/>
      <c r="AC74" s="1"/>
      <c r="AD74" s="1"/>
      <c r="AE74" s="1"/>
      <c r="AF74" s="1"/>
      <c r="AG74" s="1"/>
      <c r="AH74" s="1"/>
      <c r="AI74" s="1"/>
      <c r="AJ74" s="1"/>
      <c r="AK74" s="1"/>
    </row>
    <row r="75" spans="1:37" s="743" customFormat="1" ht="14.4" customHeight="1" x14ac:dyDescent="0.3">
      <c r="A75" s="1"/>
      <c r="B75" s="1622" t="s">
        <v>445</v>
      </c>
      <c r="C75" s="1"/>
      <c r="D75" s="1656" t="s">
        <v>879</v>
      </c>
      <c r="E75" s="1657"/>
      <c r="F75" s="1657"/>
      <c r="G75" s="1657"/>
      <c r="H75" s="1658"/>
      <c r="I75" s="1"/>
      <c r="J75" s="1295" t="s">
        <v>446</v>
      </c>
      <c r="K75" s="1107"/>
      <c r="L75" s="1107"/>
      <c r="M75" s="1107"/>
      <c r="N75" s="1107"/>
      <c r="O75" s="1107"/>
      <c r="P75" s="1107"/>
      <c r="Q75" s="1"/>
      <c r="R75" s="1127" t="str">
        <f>HYPERLINK("https://living-future.org/lbc/materials-petal/#14-net-positive-waste","Living Building Challange: Net Positive Waste")</f>
        <v>Living Building Challange: Net Positive Waste</v>
      </c>
      <c r="S75" s="1088"/>
      <c r="T75" s="1"/>
      <c r="U75" s="446"/>
      <c r="V75" s="1"/>
      <c r="W75" s="1"/>
      <c r="X75" s="1"/>
      <c r="Y75" s="1"/>
      <c r="Z75" s="1"/>
      <c r="AA75" s="1"/>
      <c r="AB75" s="1"/>
      <c r="AC75" s="1"/>
      <c r="AD75" s="1"/>
      <c r="AE75" s="1"/>
      <c r="AF75" s="1"/>
      <c r="AG75" s="1"/>
      <c r="AH75" s="1"/>
      <c r="AI75" s="1"/>
      <c r="AJ75" s="1"/>
      <c r="AK75" s="1"/>
    </row>
    <row r="76" spans="1:37" s="743" customFormat="1" ht="13.5" thickBot="1" x14ac:dyDescent="0.35">
      <c r="A76" s="1"/>
      <c r="B76" s="1622"/>
      <c r="C76" s="1"/>
      <c r="D76" s="1089"/>
      <c r="E76" s="1300"/>
      <c r="F76" s="1301"/>
      <c r="G76" s="1300"/>
      <c r="H76" s="1189"/>
      <c r="I76" s="1"/>
      <c r="J76" s="1088" t="s">
        <v>447</v>
      </c>
      <c r="K76" s="1088"/>
      <c r="L76" s="1088"/>
      <c r="M76" s="1088"/>
      <c r="N76" s="1088"/>
      <c r="O76" s="1088"/>
      <c r="P76" s="1088"/>
      <c r="Q76" s="1"/>
      <c r="R76" s="1088"/>
      <c r="S76" s="1088"/>
      <c r="T76" s="1"/>
      <c r="U76" s="446"/>
      <c r="V76" s="1"/>
      <c r="W76" s="1"/>
      <c r="X76" s="1"/>
      <c r="Y76" s="1"/>
      <c r="Z76" s="1"/>
      <c r="AA76" s="1"/>
      <c r="AB76" s="1"/>
      <c r="AC76" s="1"/>
      <c r="AD76" s="1"/>
      <c r="AE76" s="1"/>
      <c r="AF76" s="1"/>
      <c r="AG76" s="1"/>
      <c r="AH76" s="1"/>
      <c r="AI76" s="1"/>
      <c r="AJ76" s="1"/>
      <c r="AK76" s="1"/>
    </row>
    <row r="77" spans="1:37" s="743" customFormat="1" ht="13.5" thickBot="1" x14ac:dyDescent="0.35">
      <c r="A77" s="1"/>
      <c r="B77" s="1622"/>
      <c r="C77" s="1"/>
      <c r="D77" s="1091"/>
      <c r="E77" s="874" t="s">
        <v>834</v>
      </c>
      <c r="F77" s="413"/>
      <c r="G77" s="1264" t="s">
        <v>807</v>
      </c>
      <c r="H77" s="880"/>
      <c r="I77" s="1"/>
      <c r="J77" s="1088" t="s">
        <v>448</v>
      </c>
      <c r="K77" s="1088"/>
      <c r="L77" s="1088"/>
      <c r="M77" s="1088"/>
      <c r="N77" s="1088"/>
      <c r="O77" s="1088"/>
      <c r="P77" s="1088"/>
      <c r="Q77" s="1"/>
      <c r="R77" s="1088"/>
      <c r="S77" s="1088"/>
      <c r="T77" s="1"/>
      <c r="U77" s="446"/>
      <c r="V77" s="1"/>
      <c r="W77" s="1"/>
      <c r="X77" s="1"/>
      <c r="Y77" s="1"/>
      <c r="Z77" s="1"/>
      <c r="AA77" s="1"/>
      <c r="AB77" s="1"/>
      <c r="AC77" s="1"/>
      <c r="AD77" s="1"/>
      <c r="AE77" s="1"/>
      <c r="AF77" s="1"/>
      <c r="AG77" s="1"/>
      <c r="AH77" s="1"/>
      <c r="AI77" s="1"/>
      <c r="AJ77" s="1"/>
      <c r="AK77" s="1"/>
    </row>
    <row r="78" spans="1:37" s="743" customFormat="1" ht="13" x14ac:dyDescent="0.3">
      <c r="A78" s="1"/>
      <c r="B78" s="1622"/>
      <c r="C78" s="1"/>
      <c r="D78" s="1091"/>
      <c r="E78" s="1219" t="s">
        <v>847</v>
      </c>
      <c r="F78" s="363"/>
      <c r="G78" s="1342" t="s">
        <v>687</v>
      </c>
      <c r="H78" s="1315"/>
      <c r="I78" s="1"/>
      <c r="J78" s="1088" t="s">
        <v>449</v>
      </c>
      <c r="K78" s="1088"/>
      <c r="L78" s="1088"/>
      <c r="M78" s="1088"/>
      <c r="N78" s="1088"/>
      <c r="O78" s="1088"/>
      <c r="P78" s="1088"/>
      <c r="Q78" s="1"/>
      <c r="R78" s="1088"/>
      <c r="S78" s="1088"/>
      <c r="T78" s="1"/>
      <c r="U78" s="446"/>
      <c r="V78" s="1"/>
      <c r="W78" s="1"/>
      <c r="X78" s="1"/>
      <c r="Y78" s="1"/>
      <c r="Z78" s="1"/>
      <c r="AA78" s="1"/>
      <c r="AB78" s="1"/>
      <c r="AC78" s="1"/>
      <c r="AD78" s="1"/>
      <c r="AE78" s="1"/>
      <c r="AF78" s="1"/>
      <c r="AG78" s="1"/>
      <c r="AH78" s="1"/>
      <c r="AI78" s="1"/>
      <c r="AJ78" s="1"/>
      <c r="AK78" s="1"/>
    </row>
    <row r="79" spans="1:37" s="743" customFormat="1" ht="13" x14ac:dyDescent="0.3">
      <c r="A79" s="1"/>
      <c r="B79" s="1622"/>
      <c r="C79" s="1"/>
      <c r="D79" s="1091"/>
      <c r="E79" s="1219"/>
      <c r="F79" s="790"/>
      <c r="G79" s="876"/>
      <c r="H79" s="1315"/>
      <c r="I79" s="1"/>
      <c r="J79" s="1088"/>
      <c r="K79" s="1088"/>
      <c r="L79" s="1088"/>
      <c r="M79" s="1088"/>
      <c r="N79" s="1088"/>
      <c r="O79" s="1088"/>
      <c r="P79" s="1088"/>
      <c r="Q79" s="1"/>
      <c r="R79" s="1088"/>
      <c r="S79" s="1088"/>
      <c r="T79" s="1"/>
      <c r="U79" s="446"/>
      <c r="V79" s="1"/>
      <c r="W79" s="1"/>
      <c r="X79" s="1"/>
      <c r="Y79" s="1"/>
      <c r="Z79" s="1"/>
      <c r="AA79" s="1"/>
      <c r="AB79" s="1"/>
      <c r="AC79" s="1"/>
      <c r="AD79" s="1"/>
      <c r="AE79" s="1"/>
      <c r="AF79" s="1"/>
      <c r="AG79" s="1"/>
      <c r="AH79" s="1"/>
      <c r="AI79" s="1"/>
      <c r="AJ79" s="1"/>
      <c r="AK79" s="1"/>
    </row>
    <row r="80" spans="1:37" s="743" customFormat="1" ht="13" x14ac:dyDescent="0.3">
      <c r="A80" s="1"/>
      <c r="B80" s="1622"/>
      <c r="C80" s="1"/>
      <c r="D80" s="1094"/>
      <c r="E80" s="1274"/>
      <c r="F80" s="1314"/>
      <c r="G80" s="1274"/>
      <c r="H80" s="1275"/>
      <c r="I80" s="1"/>
      <c r="J80" s="1088"/>
      <c r="K80" s="1088"/>
      <c r="L80" s="1088"/>
      <c r="M80" s="1088"/>
      <c r="N80" s="1088"/>
      <c r="O80" s="1088"/>
      <c r="P80" s="1088"/>
      <c r="Q80" s="1"/>
      <c r="R80" s="1088"/>
      <c r="S80" s="1088"/>
      <c r="T80" s="1"/>
      <c r="U80" s="446"/>
      <c r="V80" s="1"/>
      <c r="W80" s="1"/>
      <c r="X80" s="1"/>
      <c r="Y80" s="1"/>
      <c r="Z80" s="1"/>
      <c r="AA80" s="1"/>
      <c r="AB80" s="1"/>
      <c r="AC80" s="1"/>
      <c r="AD80" s="1"/>
      <c r="AE80" s="1"/>
      <c r="AF80" s="1"/>
      <c r="AG80" s="1"/>
      <c r="AH80" s="1"/>
      <c r="AI80" s="1"/>
      <c r="AJ80" s="1"/>
      <c r="AK80" s="1"/>
    </row>
    <row r="81" spans="1:37" s="743" customFormat="1" ht="13" x14ac:dyDescent="0.3">
      <c r="A81" s="1"/>
      <c r="B81" s="1"/>
      <c r="C81" s="1"/>
      <c r="D81" s="1"/>
      <c r="E81" s="8"/>
      <c r="F81" s="64"/>
      <c r="G81" s="8"/>
      <c r="H81" s="8"/>
      <c r="I81" s="1"/>
      <c r="J81" s="1"/>
      <c r="K81" s="1"/>
      <c r="L81" s="1"/>
      <c r="M81" s="1"/>
      <c r="N81" s="1"/>
      <c r="O81" s="1"/>
      <c r="P81" s="1"/>
      <c r="Q81" s="1"/>
      <c r="R81" s="1"/>
      <c r="S81" s="1"/>
      <c r="T81" s="1"/>
      <c r="U81" s="446"/>
      <c r="V81" s="1"/>
      <c r="W81" s="1"/>
      <c r="X81" s="1"/>
      <c r="Y81" s="1"/>
      <c r="Z81" s="1"/>
      <c r="AA81" s="1"/>
      <c r="AB81" s="1"/>
      <c r="AC81" s="1"/>
      <c r="AD81" s="1"/>
      <c r="AE81" s="1"/>
      <c r="AF81" s="1"/>
      <c r="AG81" s="1"/>
      <c r="AH81" s="1"/>
      <c r="AI81" s="1"/>
      <c r="AJ81" s="1"/>
      <c r="AK81" s="1"/>
    </row>
    <row r="82" spans="1:37" s="743" customFormat="1" ht="14.4" customHeight="1" x14ac:dyDescent="0.3">
      <c r="A82" s="1"/>
      <c r="B82" s="1622" t="s">
        <v>1142</v>
      </c>
      <c r="C82" s="1"/>
      <c r="D82" s="1656" t="s">
        <v>880</v>
      </c>
      <c r="E82" s="1657"/>
      <c r="F82" s="1657"/>
      <c r="G82" s="1657"/>
      <c r="H82" s="1658"/>
      <c r="I82" s="1"/>
      <c r="J82" s="1717" t="s">
        <v>841</v>
      </c>
      <c r="K82" s="1717"/>
      <c r="L82" s="1717"/>
      <c r="M82" s="1717"/>
      <c r="N82" s="1717"/>
      <c r="O82" s="1717"/>
      <c r="P82" s="1717"/>
      <c r="Q82" s="1"/>
      <c r="R82" s="1088"/>
      <c r="S82" s="1088"/>
      <c r="T82" s="1"/>
      <c r="U82" s="446"/>
      <c r="V82" s="1"/>
      <c r="W82" s="1"/>
      <c r="X82" s="1"/>
      <c r="Y82" s="1"/>
      <c r="Z82" s="1"/>
      <c r="AA82" s="1"/>
      <c r="AB82" s="1"/>
      <c r="AC82" s="1"/>
      <c r="AD82" s="1"/>
      <c r="AE82" s="1"/>
      <c r="AF82" s="1"/>
      <c r="AG82" s="1"/>
      <c r="AH82" s="1"/>
      <c r="AI82" s="1"/>
      <c r="AJ82" s="1"/>
      <c r="AK82" s="1"/>
    </row>
    <row r="83" spans="1:37" s="743" customFormat="1" ht="13" x14ac:dyDescent="0.3">
      <c r="A83" s="1"/>
      <c r="B83" s="1622"/>
      <c r="C83" s="1"/>
      <c r="D83" s="1089"/>
      <c r="E83" s="1300"/>
      <c r="F83" s="1301"/>
      <c r="G83" s="1300"/>
      <c r="H83" s="1189"/>
      <c r="I83" s="1"/>
      <c r="J83" s="1717"/>
      <c r="K83" s="1717"/>
      <c r="L83" s="1717"/>
      <c r="M83" s="1717"/>
      <c r="N83" s="1717"/>
      <c r="O83" s="1717"/>
      <c r="P83" s="1717"/>
      <c r="Q83" s="1"/>
      <c r="R83" s="1088"/>
      <c r="S83" s="1088"/>
      <c r="T83" s="1"/>
      <c r="U83" s="446"/>
      <c r="V83" s="1"/>
      <c r="W83" s="1"/>
      <c r="X83" s="1"/>
      <c r="Y83" s="1"/>
      <c r="Z83" s="1"/>
      <c r="AA83" s="1"/>
      <c r="AB83" s="1"/>
      <c r="AC83" s="1"/>
      <c r="AD83" s="1"/>
      <c r="AE83" s="1"/>
      <c r="AF83" s="1"/>
      <c r="AG83" s="1"/>
      <c r="AH83" s="1"/>
      <c r="AI83" s="1"/>
      <c r="AJ83" s="1"/>
      <c r="AK83" s="1"/>
    </row>
    <row r="84" spans="1:37" s="743" customFormat="1" ht="13" x14ac:dyDescent="0.3">
      <c r="A84" s="1"/>
      <c r="B84" s="1622"/>
      <c r="C84" s="1"/>
      <c r="D84" s="1091"/>
      <c r="E84" s="1219" t="s">
        <v>450</v>
      </c>
      <c r="F84" s="1220">
        <f>Construction_Cost_Total</f>
        <v>0</v>
      </c>
      <c r="G84" s="1264" t="s">
        <v>776</v>
      </c>
      <c r="H84" s="880"/>
      <c r="I84" s="1"/>
      <c r="J84" s="1000"/>
      <c r="K84" s="1000"/>
      <c r="L84" s="1000"/>
      <c r="M84" s="1000"/>
      <c r="N84" s="1000"/>
      <c r="O84" s="1000"/>
      <c r="P84" s="1000"/>
      <c r="Q84" s="1"/>
      <c r="R84" s="1088"/>
      <c r="S84" s="1088"/>
      <c r="T84" s="1"/>
      <c r="U84" s="446"/>
      <c r="V84" s="1"/>
      <c r="W84" s="1"/>
      <c r="X84" s="1"/>
      <c r="Y84" s="1"/>
      <c r="Z84" s="1"/>
      <c r="AA84" s="1"/>
      <c r="AB84" s="1"/>
      <c r="AC84" s="1"/>
      <c r="AD84" s="1"/>
      <c r="AE84" s="1"/>
      <c r="AF84" s="1"/>
      <c r="AG84" s="1"/>
      <c r="AH84" s="1"/>
      <c r="AI84" s="1"/>
      <c r="AJ84" s="1"/>
      <c r="AK84" s="1"/>
    </row>
    <row r="85" spans="1:37" s="743" customFormat="1" ht="13" x14ac:dyDescent="0.3">
      <c r="A85" s="1"/>
      <c r="B85" s="1622"/>
      <c r="C85" s="1"/>
      <c r="D85" s="1091"/>
      <c r="E85" s="1219" t="s">
        <v>451</v>
      </c>
      <c r="F85" s="366"/>
      <c r="G85" s="1264" t="s">
        <v>776</v>
      </c>
      <c r="H85" s="880"/>
      <c r="I85" s="1"/>
      <c r="J85" s="1000"/>
      <c r="K85" s="1000"/>
      <c r="L85" s="1000"/>
      <c r="M85" s="1000"/>
      <c r="N85" s="1000"/>
      <c r="O85" s="1000"/>
      <c r="P85" s="1000"/>
      <c r="Q85" s="1"/>
      <c r="R85" s="1088"/>
      <c r="S85" s="1088"/>
      <c r="T85" s="1"/>
      <c r="U85" s="446"/>
      <c r="V85" s="1"/>
      <c r="W85" s="1"/>
      <c r="X85" s="1"/>
      <c r="Y85" s="1"/>
      <c r="Z85" s="1"/>
      <c r="AA85" s="1"/>
      <c r="AB85" s="1"/>
      <c r="AC85" s="1"/>
      <c r="AD85" s="1"/>
      <c r="AE85" s="1"/>
      <c r="AF85" s="1"/>
      <c r="AG85" s="1"/>
      <c r="AH85" s="1"/>
      <c r="AI85" s="1"/>
      <c r="AJ85" s="1"/>
      <c r="AK85" s="1"/>
    </row>
    <row r="86" spans="1:37" s="743" customFormat="1" ht="13" x14ac:dyDescent="0.3">
      <c r="A86" s="1"/>
      <c r="B86" s="1622"/>
      <c r="C86" s="1"/>
      <c r="D86" s="1091"/>
      <c r="E86" s="1219" t="s">
        <v>1141</v>
      </c>
      <c r="F86" s="366"/>
      <c r="G86" s="1264" t="s">
        <v>776</v>
      </c>
      <c r="H86" s="880"/>
      <c r="I86" s="1"/>
      <c r="J86" s="1000"/>
      <c r="K86" s="1000"/>
      <c r="L86" s="1000"/>
      <c r="M86" s="1000"/>
      <c r="N86" s="1000"/>
      <c r="O86" s="1000"/>
      <c r="P86" s="1000"/>
      <c r="Q86" s="1"/>
      <c r="R86" s="1088"/>
      <c r="S86" s="1088"/>
      <c r="T86" s="1"/>
      <c r="U86" s="446"/>
      <c r="V86" s="1"/>
      <c r="W86" s="1"/>
      <c r="X86" s="1"/>
      <c r="Y86" s="1"/>
      <c r="Z86" s="1"/>
      <c r="AA86" s="1"/>
      <c r="AB86" s="1"/>
      <c r="AC86" s="1"/>
      <c r="AD86" s="1"/>
      <c r="AE86" s="1"/>
      <c r="AF86" s="1"/>
      <c r="AG86" s="1"/>
      <c r="AH86" s="1"/>
      <c r="AI86" s="1"/>
      <c r="AJ86" s="1"/>
      <c r="AK86" s="1"/>
    </row>
    <row r="87" spans="1:37" s="743" customFormat="1" ht="13" x14ac:dyDescent="0.3">
      <c r="A87" s="1"/>
      <c r="B87" s="1622"/>
      <c r="C87" s="1"/>
      <c r="D87" s="1091"/>
      <c r="E87" s="1264"/>
      <c r="F87" s="790"/>
      <c r="G87" s="1264"/>
      <c r="H87" s="880"/>
      <c r="I87" s="1"/>
      <c r="J87" s="1000"/>
      <c r="K87" s="1000"/>
      <c r="L87" s="1000"/>
      <c r="M87" s="1000"/>
      <c r="N87" s="1000"/>
      <c r="O87" s="1000"/>
      <c r="P87" s="1000"/>
      <c r="Q87" s="1"/>
      <c r="R87" s="1088"/>
      <c r="S87" s="1088"/>
      <c r="T87" s="1"/>
      <c r="U87" s="446"/>
      <c r="V87" s="1"/>
      <c r="W87" s="1"/>
      <c r="X87" s="1"/>
      <c r="Y87" s="1"/>
      <c r="Z87" s="1"/>
      <c r="AA87" s="1"/>
      <c r="AB87" s="1"/>
      <c r="AC87" s="1"/>
      <c r="AD87" s="1"/>
      <c r="AE87" s="1"/>
      <c r="AF87" s="1"/>
      <c r="AG87" s="1"/>
      <c r="AH87" s="1"/>
      <c r="AI87" s="1"/>
      <c r="AJ87" s="1"/>
      <c r="AK87" s="1"/>
    </row>
    <row r="88" spans="1:37" s="743" customFormat="1" ht="13" x14ac:dyDescent="0.3">
      <c r="A88" s="1"/>
      <c r="B88" s="1622"/>
      <c r="C88" s="1"/>
      <c r="D88" s="1091"/>
      <c r="E88" s="1219" t="s">
        <v>848</v>
      </c>
      <c r="F88" s="364"/>
      <c r="G88" s="1342" t="s">
        <v>687</v>
      </c>
      <c r="H88" s="880"/>
      <c r="I88" s="1"/>
      <c r="J88" s="1000"/>
      <c r="K88" s="1000"/>
      <c r="L88" s="1000"/>
      <c r="M88" s="1000"/>
      <c r="N88" s="1000"/>
      <c r="O88" s="1000"/>
      <c r="P88" s="1000"/>
      <c r="Q88" s="1"/>
      <c r="R88" s="1088"/>
      <c r="S88" s="1088"/>
      <c r="T88" s="1"/>
      <c r="U88" s="446"/>
      <c r="V88" s="1"/>
      <c r="W88" s="1"/>
      <c r="X88" s="1"/>
      <c r="Y88" s="1"/>
      <c r="Z88" s="1"/>
      <c r="AA88" s="1"/>
      <c r="AB88" s="1"/>
      <c r="AC88" s="1"/>
      <c r="AD88" s="1"/>
      <c r="AE88" s="1"/>
      <c r="AF88" s="1"/>
      <c r="AG88" s="1"/>
      <c r="AH88" s="1"/>
      <c r="AI88" s="1"/>
      <c r="AJ88" s="1"/>
      <c r="AK88" s="1"/>
    </row>
    <row r="89" spans="1:37" s="743" customFormat="1" ht="13" x14ac:dyDescent="0.3">
      <c r="A89" s="1"/>
      <c r="B89" s="1622"/>
      <c r="C89" s="1"/>
      <c r="D89" s="1091"/>
      <c r="E89" s="1219"/>
      <c r="F89" s="790"/>
      <c r="G89" s="876"/>
      <c r="H89" s="880"/>
      <c r="I89" s="1"/>
      <c r="J89" s="1088"/>
      <c r="K89" s="1088"/>
      <c r="L89" s="1088"/>
      <c r="M89" s="1088"/>
      <c r="N89" s="1088"/>
      <c r="O89" s="1088"/>
      <c r="P89" s="1088"/>
      <c r="Q89" s="1"/>
      <c r="R89" s="1088"/>
      <c r="S89" s="1088"/>
      <c r="T89" s="1"/>
      <c r="U89" s="446"/>
      <c r="V89" s="1"/>
      <c r="W89" s="1"/>
      <c r="X89" s="1"/>
      <c r="Y89" s="1"/>
      <c r="Z89" s="1"/>
      <c r="AA89" s="1"/>
      <c r="AB89" s="1"/>
      <c r="AC89" s="1"/>
      <c r="AD89" s="1"/>
      <c r="AE89" s="1"/>
      <c r="AF89" s="1"/>
      <c r="AG89" s="1"/>
      <c r="AH89" s="1"/>
      <c r="AI89" s="1"/>
      <c r="AJ89" s="1"/>
      <c r="AK89" s="1"/>
    </row>
    <row r="90" spans="1:37" s="743" customFormat="1" ht="13" x14ac:dyDescent="0.3">
      <c r="A90" s="1"/>
      <c r="B90" s="1622"/>
      <c r="C90" s="1"/>
      <c r="D90" s="1091"/>
      <c r="E90" s="1341" t="s">
        <v>844</v>
      </c>
      <c r="F90" s="790"/>
      <c r="G90" s="876"/>
      <c r="H90" s="880"/>
      <c r="I90" s="1"/>
      <c r="J90" s="1088"/>
      <c r="K90" s="1088"/>
      <c r="L90" s="1088"/>
      <c r="M90" s="1088"/>
      <c r="N90" s="1088"/>
      <c r="O90" s="1088"/>
      <c r="P90" s="1088"/>
      <c r="Q90" s="1"/>
      <c r="R90" s="1088"/>
      <c r="S90" s="1088"/>
      <c r="T90" s="1"/>
      <c r="U90" s="446"/>
      <c r="V90" s="1"/>
      <c r="W90" s="1"/>
      <c r="X90" s="1"/>
      <c r="Y90" s="1"/>
      <c r="Z90" s="1"/>
      <c r="AA90" s="1"/>
      <c r="AB90" s="1"/>
      <c r="AC90" s="1"/>
      <c r="AD90" s="1"/>
      <c r="AE90" s="1"/>
      <c r="AF90" s="1"/>
      <c r="AG90" s="1"/>
      <c r="AH90" s="1"/>
      <c r="AI90" s="1"/>
      <c r="AJ90" s="1"/>
      <c r="AK90" s="1"/>
    </row>
    <row r="91" spans="1:37" s="743" customFormat="1" ht="13.5" thickBot="1" x14ac:dyDescent="0.35">
      <c r="A91" s="1"/>
      <c r="B91" s="1622"/>
      <c r="C91" s="1"/>
      <c r="D91" s="1091"/>
      <c r="E91" s="1219" t="s">
        <v>852</v>
      </c>
      <c r="F91" s="367"/>
      <c r="G91" s="1264" t="s">
        <v>776</v>
      </c>
      <c r="H91" s="880"/>
      <c r="I91" s="1"/>
      <c r="J91" s="1088"/>
      <c r="K91" s="1088"/>
      <c r="L91" s="1088"/>
      <c r="M91" s="1088"/>
      <c r="N91" s="1088"/>
      <c r="O91" s="1088"/>
      <c r="P91" s="1088"/>
      <c r="Q91" s="1"/>
      <c r="R91" s="1088"/>
      <c r="S91" s="1088"/>
      <c r="T91" s="1"/>
      <c r="U91" s="446"/>
      <c r="V91" s="1"/>
      <c r="W91" s="1"/>
      <c r="X91" s="1"/>
      <c r="Y91" s="1"/>
      <c r="Z91" s="1"/>
      <c r="AA91" s="1"/>
      <c r="AB91" s="1"/>
      <c r="AC91" s="1"/>
      <c r="AD91" s="1"/>
      <c r="AE91" s="1"/>
      <c r="AF91" s="1"/>
      <c r="AG91" s="1"/>
      <c r="AH91" s="1"/>
      <c r="AI91" s="1"/>
      <c r="AJ91" s="1"/>
      <c r="AK91" s="1"/>
    </row>
    <row r="92" spans="1:37" s="743" customFormat="1" ht="13.5" thickBot="1" x14ac:dyDescent="0.35">
      <c r="A92" s="1"/>
      <c r="B92" s="1622"/>
      <c r="C92" s="1"/>
      <c r="D92" s="1091"/>
      <c r="E92" s="874" t="s">
        <v>849</v>
      </c>
      <c r="F92" s="1268">
        <f>IFERROR(F91/Materials_Cost_Total,0)</f>
        <v>0</v>
      </c>
      <c r="G92" s="1219"/>
      <c r="H92" s="880"/>
      <c r="I92" s="1"/>
      <c r="J92" s="1088"/>
      <c r="K92" s="1088"/>
      <c r="L92" s="1088"/>
      <c r="M92" s="1088"/>
      <c r="N92" s="1088"/>
      <c r="O92" s="1088"/>
      <c r="P92" s="1088"/>
      <c r="Q92" s="1"/>
      <c r="R92" s="1088"/>
      <c r="S92" s="1088"/>
      <c r="T92" s="1"/>
      <c r="U92" s="446"/>
      <c r="V92" s="1"/>
      <c r="W92" s="1"/>
      <c r="X92" s="1"/>
      <c r="Y92" s="1"/>
      <c r="Z92" s="1"/>
      <c r="AA92" s="1"/>
      <c r="AB92" s="1"/>
      <c r="AC92" s="1"/>
      <c r="AD92" s="1"/>
      <c r="AE92" s="1"/>
      <c r="AF92" s="1"/>
      <c r="AG92" s="1"/>
      <c r="AH92" s="1"/>
      <c r="AI92" s="1"/>
      <c r="AJ92" s="1"/>
      <c r="AK92" s="1"/>
    </row>
    <row r="93" spans="1:37" s="743" customFormat="1" ht="13" x14ac:dyDescent="0.3">
      <c r="A93" s="1"/>
      <c r="B93" s="1622"/>
      <c r="C93" s="1"/>
      <c r="D93" s="1091"/>
      <c r="E93" s="865"/>
      <c r="F93" s="873"/>
      <c r="G93" s="865"/>
      <c r="H93" s="880"/>
      <c r="I93" s="1"/>
      <c r="J93" s="1088"/>
      <c r="K93" s="1088"/>
      <c r="L93" s="1088"/>
      <c r="M93" s="1088"/>
      <c r="N93" s="1088"/>
      <c r="O93" s="1088"/>
      <c r="P93" s="1088"/>
      <c r="Q93" s="1"/>
      <c r="R93" s="1088"/>
      <c r="S93" s="1088"/>
      <c r="T93" s="1"/>
      <c r="U93" s="446"/>
      <c r="V93" s="1"/>
      <c r="W93" s="1"/>
      <c r="X93" s="1"/>
      <c r="Y93" s="1"/>
      <c r="Z93" s="1"/>
      <c r="AA93" s="1"/>
      <c r="AB93" s="1"/>
      <c r="AC93" s="1"/>
      <c r="AD93" s="1"/>
      <c r="AE93" s="1"/>
      <c r="AF93" s="1"/>
      <c r="AG93" s="1"/>
      <c r="AH93" s="1"/>
      <c r="AI93" s="1"/>
      <c r="AJ93" s="1"/>
      <c r="AK93" s="1"/>
    </row>
    <row r="94" spans="1:37" s="743" customFormat="1" ht="13" x14ac:dyDescent="0.3">
      <c r="A94" s="1"/>
      <c r="B94" s="1622"/>
      <c r="C94" s="1"/>
      <c r="D94" s="1091"/>
      <c r="E94" s="1341" t="s">
        <v>845</v>
      </c>
      <c r="F94" s="790"/>
      <c r="G94" s="1219"/>
      <c r="H94" s="880"/>
      <c r="I94" s="1"/>
      <c r="J94" s="1088"/>
      <c r="K94" s="1088"/>
      <c r="L94" s="1088"/>
      <c r="M94" s="1088"/>
      <c r="N94" s="1088"/>
      <c r="O94" s="1088"/>
      <c r="P94" s="1088"/>
      <c r="Q94" s="1"/>
      <c r="R94" s="1088"/>
      <c r="S94" s="1088"/>
      <c r="T94" s="1"/>
      <c r="U94" s="446"/>
      <c r="V94" s="1"/>
      <c r="W94" s="1"/>
      <c r="X94" s="1"/>
      <c r="Y94" s="1"/>
      <c r="Z94" s="1"/>
      <c r="AA94" s="1"/>
      <c r="AB94" s="1"/>
      <c r="AC94" s="1"/>
      <c r="AD94" s="1"/>
      <c r="AE94" s="1"/>
      <c r="AF94" s="1"/>
      <c r="AG94" s="1"/>
      <c r="AH94" s="1"/>
      <c r="AI94" s="1"/>
      <c r="AJ94" s="1"/>
      <c r="AK94" s="1"/>
    </row>
    <row r="95" spans="1:37" s="743" customFormat="1" ht="13.5" thickBot="1" x14ac:dyDescent="0.35">
      <c r="A95" s="1"/>
      <c r="B95" s="1622"/>
      <c r="C95" s="1"/>
      <c r="D95" s="1091"/>
      <c r="E95" s="1219" t="s">
        <v>853</v>
      </c>
      <c r="F95" s="364"/>
      <c r="G95" s="1264" t="s">
        <v>776</v>
      </c>
      <c r="H95" s="880"/>
      <c r="I95" s="1"/>
      <c r="J95" s="1088"/>
      <c r="K95" s="1088"/>
      <c r="L95" s="1088"/>
      <c r="M95" s="1088"/>
      <c r="N95" s="1088"/>
      <c r="O95" s="1088"/>
      <c r="P95" s="1088"/>
      <c r="Q95" s="1"/>
      <c r="R95" s="1088"/>
      <c r="S95" s="1088"/>
      <c r="T95" s="1"/>
      <c r="U95" s="446"/>
      <c r="V95" s="1"/>
      <c r="W95" s="1"/>
      <c r="X95" s="1"/>
      <c r="Y95" s="1"/>
      <c r="Z95" s="1"/>
      <c r="AA95" s="1"/>
      <c r="AB95" s="1"/>
      <c r="AC95" s="1"/>
      <c r="AD95" s="1"/>
      <c r="AE95" s="1"/>
      <c r="AF95" s="1"/>
      <c r="AG95" s="1"/>
      <c r="AH95" s="1"/>
      <c r="AI95" s="1"/>
      <c r="AJ95" s="1"/>
      <c r="AK95" s="1"/>
    </row>
    <row r="96" spans="1:37" s="743" customFormat="1" ht="13.5" thickBot="1" x14ac:dyDescent="0.35">
      <c r="A96" s="1"/>
      <c r="B96" s="1622"/>
      <c r="C96" s="1"/>
      <c r="D96" s="1091"/>
      <c r="E96" s="874" t="s">
        <v>850</v>
      </c>
      <c r="F96" s="1268">
        <f>IFERROR(F95/Materials_Cost_Total,0)</f>
        <v>0</v>
      </c>
      <c r="G96" s="1264"/>
      <c r="H96" s="880"/>
      <c r="I96" s="1"/>
      <c r="J96" s="1088"/>
      <c r="K96" s="1088"/>
      <c r="L96" s="1088"/>
      <c r="M96" s="1088"/>
      <c r="N96" s="1088"/>
      <c r="O96" s="1088"/>
      <c r="P96" s="1088"/>
      <c r="Q96" s="1"/>
      <c r="R96" s="1088"/>
      <c r="S96" s="1088"/>
      <c r="T96" s="1"/>
      <c r="U96" s="446"/>
      <c r="V96" s="1"/>
      <c r="W96" s="1"/>
      <c r="X96" s="1"/>
      <c r="Y96" s="1"/>
      <c r="Z96" s="1"/>
      <c r="AA96" s="1"/>
      <c r="AB96" s="1"/>
      <c r="AC96" s="1"/>
      <c r="AD96" s="1"/>
      <c r="AE96" s="1"/>
      <c r="AF96" s="1"/>
      <c r="AG96" s="1"/>
      <c r="AH96" s="1"/>
      <c r="AI96" s="1"/>
      <c r="AJ96" s="1"/>
      <c r="AK96" s="1"/>
    </row>
    <row r="97" spans="1:39" s="743" customFormat="1" ht="13" x14ac:dyDescent="0.3">
      <c r="A97" s="1"/>
      <c r="B97" s="1622"/>
      <c r="C97" s="1"/>
      <c r="D97" s="1091"/>
      <c r="E97" s="865"/>
      <c r="F97" s="873"/>
      <c r="G97" s="865"/>
      <c r="H97" s="880"/>
      <c r="I97" s="1"/>
      <c r="J97" s="1088"/>
      <c r="K97" s="1088"/>
      <c r="L97" s="1088"/>
      <c r="M97" s="1088"/>
      <c r="N97" s="1088"/>
      <c r="O97" s="1088"/>
      <c r="P97" s="1088"/>
      <c r="Q97" s="1"/>
      <c r="R97" s="1088"/>
      <c r="S97" s="1088"/>
      <c r="T97" s="1"/>
      <c r="U97" s="446"/>
      <c r="V97" s="1"/>
      <c r="W97" s="1"/>
      <c r="X97" s="1"/>
      <c r="Y97" s="1"/>
      <c r="Z97" s="1"/>
      <c r="AA97" s="1"/>
      <c r="AB97" s="1"/>
      <c r="AC97" s="1"/>
      <c r="AD97" s="1"/>
      <c r="AE97" s="1"/>
      <c r="AF97" s="1"/>
      <c r="AG97" s="1"/>
      <c r="AH97" s="1"/>
      <c r="AI97" s="1"/>
      <c r="AJ97" s="1"/>
      <c r="AK97" s="1"/>
    </row>
    <row r="98" spans="1:39" s="743" customFormat="1" ht="13" x14ac:dyDescent="0.3">
      <c r="A98" s="1"/>
      <c r="B98" s="1622"/>
      <c r="C98" s="1"/>
      <c r="D98" s="1091"/>
      <c r="E98" s="1341" t="s">
        <v>846</v>
      </c>
      <c r="F98" s="790"/>
      <c r="G98" s="1264"/>
      <c r="H98" s="880"/>
      <c r="I98" s="1"/>
      <c r="J98" s="1088"/>
      <c r="K98" s="1088"/>
      <c r="L98" s="1088"/>
      <c r="M98" s="1088"/>
      <c r="N98" s="1088"/>
      <c r="O98" s="1088"/>
      <c r="P98" s="1088"/>
      <c r="Q98" s="1"/>
      <c r="R98" s="1088"/>
      <c r="S98" s="1088"/>
      <c r="T98" s="1"/>
      <c r="U98" s="446"/>
      <c r="V98" s="1"/>
      <c r="W98" s="1"/>
      <c r="X98" s="1"/>
      <c r="Y98" s="1"/>
      <c r="Z98" s="1"/>
      <c r="AA98" s="1"/>
      <c r="AB98" s="1"/>
      <c r="AC98" s="1"/>
      <c r="AD98" s="1"/>
      <c r="AE98" s="1"/>
      <c r="AF98" s="1"/>
      <c r="AG98" s="1"/>
      <c r="AH98" s="1"/>
      <c r="AI98" s="1"/>
      <c r="AJ98" s="1"/>
      <c r="AK98" s="1"/>
    </row>
    <row r="99" spans="1:39" s="743" customFormat="1" ht="13.5" thickBot="1" x14ac:dyDescent="0.35">
      <c r="A99" s="1"/>
      <c r="B99" s="1622"/>
      <c r="C99" s="1"/>
      <c r="D99" s="1091"/>
      <c r="E99" s="1219" t="s">
        <v>854</v>
      </c>
      <c r="F99" s="364"/>
      <c r="G99" s="1264" t="s">
        <v>776</v>
      </c>
      <c r="H99" s="880"/>
      <c r="I99" s="1"/>
      <c r="J99" s="1088"/>
      <c r="K99" s="1088"/>
      <c r="L99" s="1088"/>
      <c r="M99" s="1088"/>
      <c r="N99" s="1088"/>
      <c r="O99" s="1088"/>
      <c r="P99" s="1088"/>
      <c r="Q99" s="1"/>
      <c r="R99" s="1088"/>
      <c r="S99" s="1088"/>
      <c r="T99" s="1"/>
      <c r="U99" s="446"/>
      <c r="V99" s="1"/>
      <c r="W99" s="1"/>
      <c r="X99" s="1"/>
      <c r="Y99" s="1"/>
      <c r="Z99" s="1"/>
      <c r="AA99" s="1"/>
      <c r="AB99" s="1"/>
      <c r="AC99" s="1"/>
      <c r="AD99" s="1"/>
      <c r="AE99" s="1"/>
      <c r="AF99" s="1"/>
      <c r="AG99" s="1"/>
      <c r="AH99" s="1"/>
      <c r="AI99" s="1"/>
      <c r="AJ99" s="1"/>
      <c r="AK99" s="1"/>
    </row>
    <row r="100" spans="1:39" s="743" customFormat="1" ht="13.5" thickBot="1" x14ac:dyDescent="0.35">
      <c r="A100" s="1"/>
      <c r="B100" s="1622"/>
      <c r="C100" s="1"/>
      <c r="D100" s="1091"/>
      <c r="E100" s="874" t="s">
        <v>851</v>
      </c>
      <c r="F100" s="1268">
        <f>IFERROR(F99/Materials_Cost_Total,0)</f>
        <v>0</v>
      </c>
      <c r="G100" s="1264"/>
      <c r="H100" s="880"/>
      <c r="I100" s="1"/>
      <c r="J100" s="1088"/>
      <c r="K100" s="1088"/>
      <c r="L100" s="1088"/>
      <c r="M100" s="1088"/>
      <c r="N100" s="1088"/>
      <c r="O100" s="1088"/>
      <c r="P100" s="1088"/>
      <c r="Q100" s="1"/>
      <c r="R100" s="1088"/>
      <c r="S100" s="1088"/>
      <c r="T100" s="1"/>
      <c r="U100" s="446"/>
      <c r="V100" s="1"/>
      <c r="W100" s="1"/>
      <c r="X100" s="1"/>
      <c r="Y100" s="1"/>
      <c r="Z100" s="1"/>
      <c r="AA100" s="1"/>
      <c r="AB100" s="1"/>
      <c r="AC100" s="1"/>
      <c r="AD100" s="1"/>
      <c r="AE100" s="1"/>
      <c r="AF100" s="1"/>
      <c r="AG100" s="1"/>
      <c r="AH100" s="1"/>
      <c r="AI100" s="1"/>
      <c r="AJ100" s="1"/>
      <c r="AK100" s="1"/>
    </row>
    <row r="101" spans="1:39" s="743" customFormat="1" ht="13" x14ac:dyDescent="0.3">
      <c r="A101" s="1"/>
      <c r="B101" s="1622"/>
      <c r="C101" s="1"/>
      <c r="D101" s="1091"/>
      <c r="E101" s="865"/>
      <c r="F101" s="873"/>
      <c r="G101" s="865"/>
      <c r="H101" s="880"/>
      <c r="I101" s="1"/>
      <c r="J101" s="1088"/>
      <c r="K101" s="1088"/>
      <c r="L101" s="1088"/>
      <c r="M101" s="1088"/>
      <c r="N101" s="1088"/>
      <c r="O101" s="1088"/>
      <c r="P101" s="1088"/>
      <c r="Q101" s="1"/>
      <c r="R101" s="1088"/>
      <c r="S101" s="1088"/>
      <c r="T101" s="1"/>
      <c r="U101" s="446"/>
      <c r="V101" s="1"/>
      <c r="W101" s="1"/>
      <c r="X101" s="1"/>
      <c r="Y101" s="1"/>
      <c r="Z101" s="1"/>
      <c r="AA101" s="1"/>
      <c r="AB101" s="1"/>
      <c r="AC101" s="1"/>
      <c r="AD101" s="1"/>
      <c r="AE101" s="1"/>
      <c r="AF101" s="1"/>
      <c r="AG101" s="1"/>
      <c r="AH101" s="1"/>
      <c r="AI101" s="1"/>
      <c r="AJ101" s="1"/>
      <c r="AK101" s="1"/>
    </row>
    <row r="102" spans="1:39" s="743" customFormat="1" ht="13" x14ac:dyDescent="0.3">
      <c r="A102" s="1"/>
      <c r="B102" s="1622"/>
      <c r="C102" s="1"/>
      <c r="D102" s="1091"/>
      <c r="E102" s="1341" t="s">
        <v>910</v>
      </c>
      <c r="F102" s="790"/>
      <c r="G102" s="1264"/>
      <c r="H102" s="880"/>
      <c r="I102" s="1"/>
      <c r="J102" s="1088"/>
      <c r="K102" s="1088"/>
      <c r="L102" s="1088"/>
      <c r="M102" s="1088"/>
      <c r="N102" s="1088"/>
      <c r="O102" s="1088"/>
      <c r="P102" s="1088"/>
      <c r="Q102" s="1"/>
      <c r="R102" s="1088"/>
      <c r="S102" s="1088"/>
      <c r="T102" s="1"/>
      <c r="U102" s="446"/>
      <c r="V102" s="1"/>
      <c r="W102" s="1"/>
      <c r="X102" s="1"/>
      <c r="Y102" s="1"/>
      <c r="Z102" s="1"/>
      <c r="AA102" s="1"/>
      <c r="AB102" s="1"/>
      <c r="AC102" s="1"/>
      <c r="AD102" s="1"/>
      <c r="AE102" s="1"/>
      <c r="AF102" s="1"/>
      <c r="AG102" s="1"/>
      <c r="AH102" s="1"/>
      <c r="AI102" s="1"/>
      <c r="AJ102" s="1"/>
      <c r="AK102" s="1"/>
    </row>
    <row r="103" spans="1:39" s="743" customFormat="1" ht="13.5" thickBot="1" x14ac:dyDescent="0.35">
      <c r="A103" s="1"/>
      <c r="B103" s="1622"/>
      <c r="C103" s="1"/>
      <c r="D103" s="1091"/>
      <c r="E103" s="1219" t="s">
        <v>855</v>
      </c>
      <c r="F103" s="364"/>
      <c r="G103" s="1264" t="s">
        <v>776</v>
      </c>
      <c r="H103" s="880"/>
      <c r="I103" s="1"/>
      <c r="J103" s="1088"/>
      <c r="K103" s="1088"/>
      <c r="L103" s="1088"/>
      <c r="M103" s="1088"/>
      <c r="N103" s="1088"/>
      <c r="O103" s="1088"/>
      <c r="P103" s="1088"/>
      <c r="Q103" s="1"/>
      <c r="R103" s="1088"/>
      <c r="S103" s="1088"/>
      <c r="T103" s="1"/>
      <c r="U103" s="446"/>
      <c r="V103" s="1"/>
      <c r="W103" s="1"/>
      <c r="X103" s="1"/>
      <c r="Y103" s="1"/>
      <c r="Z103" s="1"/>
      <c r="AA103" s="1"/>
      <c r="AB103" s="1"/>
      <c r="AC103" s="1"/>
      <c r="AD103" s="1"/>
      <c r="AE103" s="1"/>
      <c r="AF103" s="1"/>
      <c r="AG103" s="1"/>
      <c r="AH103" s="1"/>
      <c r="AI103" s="1"/>
      <c r="AJ103" s="1"/>
      <c r="AK103" s="1"/>
    </row>
    <row r="104" spans="1:39" s="743" customFormat="1" ht="13.5" thickBot="1" x14ac:dyDescent="0.35">
      <c r="A104" s="1"/>
      <c r="B104" s="1622"/>
      <c r="C104" s="1"/>
      <c r="D104" s="1091"/>
      <c r="E104" s="874" t="s">
        <v>856</v>
      </c>
      <c r="F104" s="1268">
        <f>IFERROR(F103/Materials_Cost_Total,0)</f>
        <v>0</v>
      </c>
      <c r="G104" s="1264"/>
      <c r="H104" s="880"/>
      <c r="I104" s="1"/>
      <c r="J104" s="1088"/>
      <c r="K104" s="1088"/>
      <c r="L104" s="1088"/>
      <c r="M104" s="1088"/>
      <c r="N104" s="1088"/>
      <c r="O104" s="1088"/>
      <c r="P104" s="1088"/>
      <c r="Q104" s="1"/>
      <c r="R104" s="1088"/>
      <c r="S104" s="1088"/>
      <c r="T104" s="1"/>
      <c r="U104" s="446"/>
      <c r="V104" s="1"/>
      <c r="W104" s="1"/>
      <c r="X104" s="1"/>
      <c r="Y104" s="1"/>
      <c r="Z104" s="1"/>
      <c r="AA104" s="1"/>
      <c r="AB104" s="1"/>
      <c r="AC104" s="1"/>
      <c r="AD104" s="1"/>
      <c r="AE104" s="1"/>
      <c r="AF104" s="1"/>
      <c r="AG104" s="1"/>
      <c r="AH104" s="1"/>
      <c r="AI104" s="1"/>
      <c r="AJ104" s="1"/>
      <c r="AK104" s="1"/>
    </row>
    <row r="105" spans="1:39" s="743" customFormat="1" ht="13" x14ac:dyDescent="0.3">
      <c r="A105" s="1"/>
      <c r="B105" s="1622"/>
      <c r="C105" s="1"/>
      <c r="D105" s="1091"/>
      <c r="E105" s="865"/>
      <c r="F105" s="873"/>
      <c r="G105" s="865"/>
      <c r="H105" s="880"/>
      <c r="I105" s="1"/>
      <c r="J105" s="1088"/>
      <c r="K105" s="1088"/>
      <c r="L105" s="1088"/>
      <c r="M105" s="1088"/>
      <c r="N105" s="1088"/>
      <c r="O105" s="1088"/>
      <c r="P105" s="1088"/>
      <c r="Q105" s="1"/>
      <c r="R105" s="1088"/>
      <c r="S105" s="1088"/>
      <c r="T105" s="1"/>
      <c r="U105" s="446"/>
      <c r="V105" s="1"/>
      <c r="W105" s="1"/>
      <c r="X105" s="1"/>
      <c r="Y105" s="1"/>
      <c r="Z105" s="1"/>
      <c r="AA105" s="1"/>
      <c r="AB105" s="1"/>
      <c r="AC105" s="1"/>
      <c r="AD105" s="1"/>
      <c r="AE105" s="1"/>
      <c r="AF105" s="1"/>
      <c r="AG105" s="1"/>
      <c r="AH105" s="1"/>
      <c r="AI105" s="1"/>
      <c r="AJ105" s="1"/>
      <c r="AK105" s="1"/>
    </row>
    <row r="106" spans="1:39" s="743" customFormat="1" ht="13" x14ac:dyDescent="0.3">
      <c r="A106" s="1"/>
      <c r="B106" s="1622"/>
      <c r="C106" s="1"/>
      <c r="D106" s="847"/>
      <c r="E106" s="1249" t="s">
        <v>909</v>
      </c>
      <c r="F106" s="12"/>
      <c r="G106" s="345"/>
      <c r="H106" s="813"/>
      <c r="I106" s="1"/>
      <c r="J106" s="1088"/>
      <c r="K106" s="1088"/>
      <c r="L106" s="1088"/>
      <c r="M106" s="1088"/>
      <c r="N106" s="1088"/>
      <c r="O106" s="1088"/>
      <c r="P106" s="1088"/>
      <c r="Q106" s="1"/>
      <c r="R106" s="1088"/>
      <c r="S106" s="1088"/>
      <c r="T106" s="1"/>
      <c r="U106" s="446"/>
      <c r="V106" s="1"/>
      <c r="W106" s="1"/>
      <c r="X106" s="1"/>
      <c r="Y106" s="1"/>
      <c r="Z106" s="1"/>
      <c r="AA106" s="1"/>
      <c r="AB106" s="1"/>
      <c r="AC106" s="1"/>
      <c r="AD106" s="1"/>
      <c r="AE106" s="1"/>
      <c r="AF106" s="1"/>
      <c r="AG106" s="1"/>
      <c r="AH106" s="1"/>
      <c r="AI106" s="1"/>
      <c r="AJ106" s="1"/>
      <c r="AK106" s="1"/>
    </row>
    <row r="107" spans="1:39" s="743" customFormat="1" ht="13.5" thickBot="1" x14ac:dyDescent="0.35">
      <c r="A107" s="1"/>
      <c r="B107" s="1622"/>
      <c r="C107" s="1"/>
      <c r="D107" s="847"/>
      <c r="E107" s="344" t="s">
        <v>1139</v>
      </c>
      <c r="F107" s="364"/>
      <c r="G107" s="345" t="s">
        <v>776</v>
      </c>
      <c r="H107" s="813"/>
      <c r="I107" s="1"/>
      <c r="J107" s="1088"/>
      <c r="K107" s="1088"/>
      <c r="L107" s="1088"/>
      <c r="M107" s="1088"/>
      <c r="N107" s="1088"/>
      <c r="O107" s="1088"/>
      <c r="P107" s="1088"/>
      <c r="Q107" s="1"/>
      <c r="R107" s="1088"/>
      <c r="S107" s="1088"/>
      <c r="T107" s="1"/>
      <c r="U107" s="446"/>
      <c r="V107" s="1"/>
      <c r="W107" s="1"/>
      <c r="X107" s="1"/>
      <c r="Y107" s="1"/>
      <c r="Z107" s="1"/>
      <c r="AA107" s="1"/>
      <c r="AB107" s="1"/>
      <c r="AC107" s="1"/>
      <c r="AD107" s="1"/>
      <c r="AE107" s="1"/>
      <c r="AF107" s="1"/>
      <c r="AG107" s="1"/>
      <c r="AH107" s="1"/>
      <c r="AI107" s="1"/>
      <c r="AJ107" s="1"/>
      <c r="AK107" s="1"/>
    </row>
    <row r="108" spans="1:39" s="743" customFormat="1" ht="13.5" thickBot="1" x14ac:dyDescent="0.35">
      <c r="A108" s="1"/>
      <c r="B108" s="1622"/>
      <c r="C108" s="1"/>
      <c r="D108" s="847"/>
      <c r="E108" s="816" t="s">
        <v>1140</v>
      </c>
      <c r="F108" s="311">
        <f>IFERROR(F107/F86,0)</f>
        <v>0</v>
      </c>
      <c r="G108" s="1297"/>
      <c r="H108" s="813"/>
      <c r="I108" s="1"/>
      <c r="J108" s="1088"/>
      <c r="K108" s="1088"/>
      <c r="L108" s="1088"/>
      <c r="M108" s="1088"/>
      <c r="N108" s="1088"/>
      <c r="O108" s="1088"/>
      <c r="P108" s="1088"/>
      <c r="Q108" s="1"/>
      <c r="R108" s="1088"/>
      <c r="S108" s="1088"/>
      <c r="T108" s="1"/>
      <c r="U108" s="446"/>
      <c r="V108" s="1"/>
      <c r="W108" s="1"/>
      <c r="X108" s="1"/>
      <c r="Y108" s="1"/>
      <c r="Z108" s="1"/>
      <c r="AA108" s="1"/>
      <c r="AB108" s="1"/>
      <c r="AC108" s="1"/>
      <c r="AD108" s="1"/>
      <c r="AE108" s="1"/>
      <c r="AF108" s="1"/>
      <c r="AG108" s="1"/>
      <c r="AH108" s="1"/>
      <c r="AI108" s="1"/>
      <c r="AJ108" s="1"/>
      <c r="AK108" s="1"/>
    </row>
    <row r="109" spans="1:39" s="743" customFormat="1" ht="13" x14ac:dyDescent="0.3">
      <c r="A109" s="1"/>
      <c r="B109" s="1622"/>
      <c r="C109" s="1"/>
      <c r="D109" s="847"/>
      <c r="E109" s="344"/>
      <c r="F109" s="12"/>
      <c r="G109" s="1297"/>
      <c r="H109" s="813"/>
      <c r="I109" s="1"/>
      <c r="J109" s="1088"/>
      <c r="K109" s="1088"/>
      <c r="L109" s="1088"/>
      <c r="M109" s="1088"/>
      <c r="N109" s="1088"/>
      <c r="O109" s="1088"/>
      <c r="P109" s="1088"/>
      <c r="Q109" s="1"/>
      <c r="R109" s="1088"/>
      <c r="S109" s="1088"/>
      <c r="T109" s="1"/>
      <c r="U109" s="446"/>
      <c r="V109" s="1"/>
      <c r="W109" s="1"/>
      <c r="X109" s="1"/>
      <c r="Y109" s="1"/>
      <c r="Z109" s="1"/>
      <c r="AA109" s="1"/>
      <c r="AB109" s="1"/>
      <c r="AC109" s="1"/>
      <c r="AD109" s="1"/>
      <c r="AE109" s="1"/>
      <c r="AF109" s="1"/>
      <c r="AG109" s="1"/>
      <c r="AH109" s="1"/>
      <c r="AI109" s="1"/>
      <c r="AJ109" s="1"/>
      <c r="AK109" s="1"/>
    </row>
    <row r="110" spans="1:39" x14ac:dyDescent="0.35">
      <c r="A110" s="484"/>
      <c r="B110" s="1622"/>
      <c r="C110" s="1"/>
      <c r="D110" s="1094"/>
      <c r="E110" s="1274"/>
      <c r="F110" s="1314"/>
      <c r="G110" s="1319"/>
      <c r="H110" s="1275"/>
      <c r="I110" s="1"/>
      <c r="J110" s="1088"/>
      <c r="K110" s="1088"/>
      <c r="L110" s="1088"/>
      <c r="M110" s="1088"/>
      <c r="N110" s="1088"/>
      <c r="O110" s="1088"/>
      <c r="P110" s="1088"/>
      <c r="Q110" s="1"/>
      <c r="R110" s="1088"/>
      <c r="S110" s="1088"/>
      <c r="T110" s="1083"/>
      <c r="U110" s="1311"/>
      <c r="V110" s="1083"/>
      <c r="W110" s="1083"/>
      <c r="X110" s="1083"/>
      <c r="Y110" s="1083"/>
      <c r="Z110" s="1083"/>
      <c r="AA110" s="1083"/>
      <c r="AB110" s="1083"/>
      <c r="AC110" s="1083"/>
      <c r="AD110" s="1083"/>
      <c r="AE110" s="1083"/>
      <c r="AF110" s="1083"/>
      <c r="AG110" s="1083"/>
      <c r="AH110" s="1083"/>
      <c r="AI110" s="1083"/>
      <c r="AJ110" s="1083"/>
      <c r="AK110" s="1083"/>
    </row>
    <row r="111" spans="1:39" x14ac:dyDescent="0.35">
      <c r="A111" s="484"/>
      <c r="B111" s="484"/>
      <c r="C111" s="484"/>
      <c r="D111" s="484"/>
      <c r="E111" s="1083"/>
      <c r="F111" s="1310"/>
      <c r="G111" s="1083"/>
      <c r="H111" s="1083"/>
      <c r="I111" s="1"/>
      <c r="J111" s="1083"/>
      <c r="K111" s="1083"/>
      <c r="L111" s="1083"/>
      <c r="M111" s="1083"/>
      <c r="N111" s="1083"/>
      <c r="O111" s="1083"/>
      <c r="P111" s="1083"/>
      <c r="Q111" s="1"/>
      <c r="R111" s="1083"/>
      <c r="S111" s="1083"/>
      <c r="T111" s="1083"/>
      <c r="U111" s="1083"/>
      <c r="V111" s="1083"/>
      <c r="W111" s="1083"/>
      <c r="X111" s="1083"/>
      <c r="Y111" s="1083"/>
      <c r="Z111" s="1083"/>
      <c r="AA111" s="1083"/>
      <c r="AB111" s="1083"/>
      <c r="AC111" s="1083"/>
      <c r="AD111" s="1083"/>
      <c r="AE111" s="1083"/>
      <c r="AF111" s="1083"/>
      <c r="AG111" s="1083"/>
      <c r="AH111" s="1083"/>
      <c r="AI111" s="1083"/>
      <c r="AJ111" s="1083"/>
      <c r="AK111" s="1083"/>
    </row>
    <row r="112" spans="1:39" ht="15" customHeight="1" x14ac:dyDescent="0.35">
      <c r="A112" s="484"/>
      <c r="B112" s="1622" t="s">
        <v>976</v>
      </c>
      <c r="C112" s="484"/>
      <c r="D112" s="1656" t="s">
        <v>881</v>
      </c>
      <c r="E112" s="1657"/>
      <c r="F112" s="1657"/>
      <c r="G112" s="1657"/>
      <c r="H112" s="1658"/>
      <c r="I112" s="1"/>
      <c r="J112" s="751"/>
      <c r="K112" s="751"/>
      <c r="L112" s="751"/>
      <c r="M112" s="751"/>
      <c r="N112" s="751"/>
      <c r="O112" s="751"/>
      <c r="P112" s="751"/>
      <c r="Q112" s="1"/>
      <c r="R112" s="751"/>
      <c r="S112" s="751"/>
      <c r="T112" s="484"/>
      <c r="U112" s="484"/>
      <c r="V112" s="484"/>
      <c r="W112" s="484"/>
      <c r="X112" s="484"/>
      <c r="Y112" s="484"/>
      <c r="Z112" s="484"/>
      <c r="AA112" s="484"/>
      <c r="AB112" s="484"/>
      <c r="AC112" s="484"/>
      <c r="AD112" s="484"/>
      <c r="AE112" s="484"/>
      <c r="AF112" s="484"/>
      <c r="AG112" s="484"/>
      <c r="AH112" s="484"/>
      <c r="AI112" s="484"/>
      <c r="AJ112" s="484"/>
      <c r="AK112" s="484"/>
      <c r="AL112" s="484"/>
      <c r="AM112" s="484"/>
    </row>
    <row r="113" spans="1:39" x14ac:dyDescent="0.35">
      <c r="A113" s="484"/>
      <c r="B113" s="1708"/>
      <c r="C113" s="484"/>
      <c r="D113" s="771"/>
      <c r="E113" s="772"/>
      <c r="F113" s="773"/>
      <c r="G113" s="772"/>
      <c r="H113" s="1343"/>
      <c r="I113" s="1"/>
      <c r="J113" s="751"/>
      <c r="K113" s="751"/>
      <c r="L113" s="751"/>
      <c r="M113" s="751"/>
      <c r="N113" s="751"/>
      <c r="O113" s="751"/>
      <c r="P113" s="751"/>
      <c r="Q113" s="1"/>
      <c r="R113" s="751"/>
      <c r="S113" s="751"/>
      <c r="T113" s="484"/>
      <c r="U113" s="484"/>
      <c r="V113" s="484"/>
      <c r="W113" s="484"/>
      <c r="X113" s="484"/>
      <c r="Y113" s="484"/>
      <c r="Z113" s="484"/>
      <c r="AA113" s="484"/>
      <c r="AB113" s="484"/>
      <c r="AC113" s="484"/>
      <c r="AD113" s="484"/>
      <c r="AE113" s="484"/>
      <c r="AF113" s="484"/>
      <c r="AG113" s="484"/>
      <c r="AH113" s="484"/>
      <c r="AI113" s="484"/>
      <c r="AJ113" s="484"/>
      <c r="AK113" s="484"/>
      <c r="AL113" s="484"/>
      <c r="AM113" s="484"/>
    </row>
    <row r="114" spans="1:39" x14ac:dyDescent="0.35">
      <c r="A114" s="484"/>
      <c r="B114" s="1708"/>
      <c r="C114" s="484"/>
      <c r="D114" s="786"/>
      <c r="E114" s="1647"/>
      <c r="F114" s="1648"/>
      <c r="G114" s="1649"/>
      <c r="H114" s="1344"/>
      <c r="I114" s="1"/>
      <c r="J114" s="751"/>
      <c r="K114" s="751"/>
      <c r="L114" s="751"/>
      <c r="M114" s="751"/>
      <c r="N114" s="751"/>
      <c r="O114" s="751"/>
      <c r="P114" s="751"/>
      <c r="Q114" s="1"/>
      <c r="R114" s="751"/>
      <c r="S114" s="751"/>
      <c r="T114" s="484"/>
      <c r="U114" s="484"/>
      <c r="V114" s="484"/>
      <c r="W114" s="484"/>
      <c r="X114" s="484"/>
      <c r="Y114" s="484"/>
      <c r="Z114" s="484"/>
      <c r="AA114" s="484"/>
      <c r="AB114" s="484"/>
      <c r="AC114" s="484"/>
      <c r="AD114" s="484"/>
      <c r="AE114" s="484"/>
      <c r="AF114" s="484"/>
      <c r="AG114" s="484"/>
      <c r="AH114" s="484"/>
      <c r="AI114" s="484"/>
      <c r="AJ114" s="484"/>
      <c r="AK114" s="484"/>
      <c r="AL114" s="484"/>
      <c r="AM114" s="484"/>
    </row>
    <row r="115" spans="1:39" x14ac:dyDescent="0.35">
      <c r="A115" s="484"/>
      <c r="B115" s="1708"/>
      <c r="C115" s="484"/>
      <c r="D115" s="786"/>
      <c r="E115" s="1650"/>
      <c r="F115" s="1651"/>
      <c r="G115" s="1652"/>
      <c r="H115" s="1344"/>
      <c r="I115" s="1"/>
      <c r="J115" s="751"/>
      <c r="K115" s="751"/>
      <c r="L115" s="751"/>
      <c r="M115" s="751"/>
      <c r="N115" s="751"/>
      <c r="O115" s="751"/>
      <c r="P115" s="751"/>
      <c r="Q115" s="1"/>
      <c r="R115" s="751"/>
      <c r="S115" s="751"/>
      <c r="T115" s="484"/>
      <c r="U115" s="484"/>
      <c r="V115" s="484"/>
      <c r="W115" s="484"/>
      <c r="X115" s="484"/>
      <c r="Y115" s="484"/>
      <c r="Z115" s="484"/>
      <c r="AA115" s="484"/>
      <c r="AB115" s="484"/>
      <c r="AC115" s="484"/>
      <c r="AD115" s="484"/>
      <c r="AE115" s="484"/>
      <c r="AF115" s="484"/>
      <c r="AG115" s="484"/>
      <c r="AH115" s="484"/>
      <c r="AI115" s="484"/>
      <c r="AJ115" s="484"/>
      <c r="AK115" s="484"/>
      <c r="AL115" s="484"/>
      <c r="AM115" s="484"/>
    </row>
    <row r="116" spans="1:39" x14ac:dyDescent="0.35">
      <c r="A116" s="484"/>
      <c r="B116" s="1708"/>
      <c r="C116" s="484"/>
      <c r="D116" s="786"/>
      <c r="E116" s="1650"/>
      <c r="F116" s="1651"/>
      <c r="G116" s="1652"/>
      <c r="H116" s="1344"/>
      <c r="I116" s="1"/>
      <c r="J116" s="751"/>
      <c r="K116" s="751"/>
      <c r="L116" s="751"/>
      <c r="M116" s="751"/>
      <c r="N116" s="751"/>
      <c r="O116" s="751"/>
      <c r="P116" s="751"/>
      <c r="Q116" s="1"/>
      <c r="R116" s="751"/>
      <c r="S116" s="751"/>
      <c r="T116" s="484"/>
      <c r="U116" s="484"/>
      <c r="V116" s="484"/>
      <c r="W116" s="484"/>
      <c r="X116" s="484"/>
      <c r="Y116" s="484"/>
      <c r="Z116" s="484"/>
      <c r="AA116" s="484"/>
      <c r="AB116" s="484"/>
      <c r="AC116" s="484"/>
      <c r="AD116" s="484"/>
      <c r="AE116" s="484"/>
      <c r="AF116" s="484"/>
      <c r="AG116" s="484"/>
      <c r="AH116" s="484"/>
      <c r="AI116" s="484"/>
      <c r="AJ116" s="484"/>
      <c r="AK116" s="484"/>
      <c r="AL116" s="484"/>
      <c r="AM116" s="484"/>
    </row>
    <row r="117" spans="1:39" x14ac:dyDescent="0.35">
      <c r="A117" s="484"/>
      <c r="B117" s="1708"/>
      <c r="C117" s="484"/>
      <c r="D117" s="786"/>
      <c r="E117" s="1650"/>
      <c r="F117" s="1651"/>
      <c r="G117" s="1652"/>
      <c r="H117" s="1344"/>
      <c r="I117" s="1"/>
      <c r="J117" s="751"/>
      <c r="K117" s="751"/>
      <c r="L117" s="751"/>
      <c r="M117" s="751"/>
      <c r="N117" s="751"/>
      <c r="O117" s="751"/>
      <c r="P117" s="751"/>
      <c r="Q117" s="1"/>
      <c r="R117" s="751"/>
      <c r="S117" s="751"/>
      <c r="T117" s="484"/>
      <c r="U117" s="484"/>
      <c r="V117" s="484"/>
      <c r="W117" s="484"/>
      <c r="X117" s="484"/>
      <c r="Y117" s="484"/>
      <c r="Z117" s="484"/>
      <c r="AA117" s="484"/>
      <c r="AB117" s="484"/>
      <c r="AC117" s="484"/>
      <c r="AD117" s="484"/>
      <c r="AE117" s="484"/>
      <c r="AF117" s="484"/>
      <c r="AG117" s="484"/>
      <c r="AH117" s="484"/>
      <c r="AI117" s="484"/>
      <c r="AJ117" s="484"/>
      <c r="AK117" s="484"/>
      <c r="AL117" s="484"/>
      <c r="AM117" s="484"/>
    </row>
    <row r="118" spans="1:39" x14ac:dyDescent="0.35">
      <c r="A118" s="484"/>
      <c r="B118" s="1708"/>
      <c r="C118" s="484"/>
      <c r="D118" s="786"/>
      <c r="E118" s="1650"/>
      <c r="F118" s="1651"/>
      <c r="G118" s="1652"/>
      <c r="H118" s="1344"/>
      <c r="I118" s="1"/>
      <c r="J118" s="751"/>
      <c r="K118" s="751"/>
      <c r="L118" s="751"/>
      <c r="M118" s="751"/>
      <c r="N118" s="751"/>
      <c r="O118" s="751"/>
      <c r="P118" s="751"/>
      <c r="Q118" s="1"/>
      <c r="R118" s="751"/>
      <c r="S118" s="751"/>
      <c r="T118" s="484"/>
      <c r="U118" s="484"/>
      <c r="V118" s="484"/>
      <c r="W118" s="484"/>
      <c r="X118" s="484"/>
      <c r="Y118" s="484"/>
      <c r="Z118" s="484"/>
      <c r="AA118" s="484"/>
      <c r="AB118" s="484"/>
      <c r="AC118" s="484"/>
      <c r="AD118" s="484"/>
      <c r="AE118" s="484"/>
      <c r="AF118" s="484"/>
      <c r="AG118" s="484"/>
      <c r="AH118" s="484"/>
      <c r="AI118" s="484"/>
      <c r="AJ118" s="484"/>
      <c r="AK118" s="484"/>
      <c r="AL118" s="484"/>
      <c r="AM118" s="484"/>
    </row>
    <row r="119" spans="1:39" x14ac:dyDescent="0.35">
      <c r="A119" s="484"/>
      <c r="B119" s="1708"/>
      <c r="C119" s="484"/>
      <c r="D119" s="786"/>
      <c r="E119" s="1653"/>
      <c r="F119" s="1654"/>
      <c r="G119" s="1655"/>
      <c r="H119" s="1344"/>
      <c r="I119" s="1"/>
      <c r="J119" s="751"/>
      <c r="K119" s="751"/>
      <c r="L119" s="751"/>
      <c r="M119" s="751"/>
      <c r="N119" s="751"/>
      <c r="O119" s="751"/>
      <c r="P119" s="751"/>
      <c r="Q119" s="1"/>
      <c r="R119" s="751"/>
      <c r="S119" s="751"/>
      <c r="T119" s="484"/>
      <c r="U119" s="484"/>
      <c r="V119" s="484"/>
      <c r="W119" s="484"/>
      <c r="X119" s="484"/>
      <c r="Y119" s="484"/>
      <c r="Z119" s="484"/>
      <c r="AA119" s="484"/>
      <c r="AB119" s="484"/>
      <c r="AC119" s="484"/>
      <c r="AD119" s="484"/>
      <c r="AE119" s="484"/>
      <c r="AF119" s="484"/>
      <c r="AG119" s="484"/>
      <c r="AH119" s="484"/>
      <c r="AI119" s="484"/>
      <c r="AJ119" s="484"/>
      <c r="AK119" s="484"/>
      <c r="AL119" s="484"/>
      <c r="AM119" s="484"/>
    </row>
    <row r="120" spans="1:39" x14ac:dyDescent="0.35">
      <c r="A120" s="484"/>
      <c r="B120" s="1708"/>
      <c r="C120" s="484"/>
      <c r="D120" s="803"/>
      <c r="E120" s="782"/>
      <c r="F120" s="781"/>
      <c r="G120" s="782"/>
      <c r="H120" s="1345"/>
      <c r="I120" s="1"/>
      <c r="J120" s="751"/>
      <c r="K120" s="751"/>
      <c r="L120" s="751"/>
      <c r="M120" s="751"/>
      <c r="N120" s="751"/>
      <c r="O120" s="751"/>
      <c r="P120" s="751"/>
      <c r="Q120" s="1"/>
      <c r="R120" s="751"/>
      <c r="S120" s="751"/>
      <c r="T120" s="484"/>
      <c r="U120" s="484"/>
      <c r="V120" s="484"/>
      <c r="W120" s="484"/>
      <c r="X120" s="484"/>
      <c r="Y120" s="484"/>
      <c r="Z120" s="484"/>
      <c r="AA120" s="484"/>
      <c r="AB120" s="484"/>
      <c r="AC120" s="484"/>
      <c r="AD120" s="484"/>
      <c r="AE120" s="484"/>
      <c r="AF120" s="484"/>
      <c r="AG120" s="484"/>
      <c r="AH120" s="484"/>
      <c r="AI120" s="484"/>
      <c r="AJ120" s="484"/>
      <c r="AK120" s="484"/>
      <c r="AL120" s="484"/>
      <c r="AM120" s="484"/>
    </row>
    <row r="121" spans="1:39" x14ac:dyDescent="0.35">
      <c r="A121" s="484"/>
      <c r="B121" s="484"/>
      <c r="C121" s="484"/>
      <c r="D121" s="484"/>
      <c r="E121" s="484"/>
      <c r="F121" s="1277"/>
      <c r="G121" s="484"/>
      <c r="H121" s="484"/>
      <c r="I121" s="1"/>
      <c r="J121" s="484"/>
      <c r="K121" s="484"/>
      <c r="L121" s="484"/>
      <c r="M121" s="484"/>
      <c r="N121" s="484"/>
      <c r="O121" s="484"/>
      <c r="P121" s="484"/>
      <c r="Q121" s="1"/>
      <c r="R121" s="484"/>
      <c r="S121" s="484"/>
      <c r="T121" s="1083"/>
      <c r="U121" s="1311"/>
      <c r="V121" s="1083"/>
      <c r="W121" s="1083"/>
      <c r="X121" s="1083"/>
      <c r="Y121" s="1083"/>
      <c r="Z121" s="1083"/>
      <c r="AA121" s="1083"/>
      <c r="AB121" s="1083"/>
      <c r="AC121" s="1083"/>
      <c r="AD121" s="1083"/>
      <c r="AE121" s="1083"/>
      <c r="AF121" s="1083"/>
      <c r="AG121" s="1083"/>
      <c r="AH121" s="1083"/>
      <c r="AI121" s="1083"/>
      <c r="AJ121" s="1083"/>
      <c r="AK121" s="1083"/>
    </row>
    <row r="122" spans="1:39" x14ac:dyDescent="0.35">
      <c r="A122" s="484"/>
      <c r="B122" s="484"/>
      <c r="C122" s="484"/>
      <c r="D122" s="484"/>
      <c r="E122" s="484"/>
      <c r="F122" s="1277"/>
      <c r="G122" s="484"/>
      <c r="H122" s="484"/>
      <c r="I122" s="484"/>
      <c r="J122" s="484"/>
      <c r="K122" s="484"/>
      <c r="L122" s="484"/>
      <c r="M122" s="484"/>
      <c r="N122" s="484"/>
      <c r="O122" s="484"/>
      <c r="P122" s="484"/>
      <c r="Q122" s="484"/>
      <c r="R122" s="484"/>
      <c r="S122" s="484"/>
      <c r="T122" s="1083"/>
      <c r="U122" s="1311"/>
      <c r="V122" s="1083"/>
      <c r="W122" s="1083"/>
      <c r="X122" s="1083"/>
      <c r="Y122" s="1083"/>
      <c r="Z122" s="1083"/>
      <c r="AA122" s="1083"/>
      <c r="AB122" s="1083"/>
      <c r="AC122" s="1083"/>
      <c r="AD122" s="1083"/>
      <c r="AE122" s="1083"/>
      <c r="AF122" s="1083"/>
      <c r="AG122" s="1083"/>
      <c r="AH122" s="1083"/>
      <c r="AI122" s="1083"/>
      <c r="AJ122" s="1083"/>
      <c r="AK122" s="1083"/>
    </row>
    <row r="123" spans="1:39" x14ac:dyDescent="0.35">
      <c r="A123" s="484"/>
      <c r="B123" s="484"/>
      <c r="C123" s="484"/>
      <c r="D123" s="484"/>
      <c r="E123" s="484"/>
      <c r="F123" s="1277"/>
      <c r="G123" s="484"/>
      <c r="H123" s="484"/>
      <c r="I123" s="484"/>
      <c r="J123" s="484"/>
      <c r="K123" s="484"/>
      <c r="L123" s="484"/>
      <c r="M123" s="484"/>
      <c r="N123" s="484"/>
      <c r="O123" s="484"/>
      <c r="P123" s="484"/>
      <c r="Q123" s="484"/>
      <c r="R123" s="484"/>
      <c r="S123" s="484"/>
      <c r="T123" s="1083"/>
      <c r="U123" s="1311"/>
      <c r="V123" s="1083"/>
      <c r="W123" s="1083"/>
      <c r="X123" s="1083"/>
      <c r="Y123" s="1083"/>
      <c r="Z123" s="1083"/>
      <c r="AA123" s="1083"/>
      <c r="AB123" s="1083"/>
      <c r="AC123" s="1083"/>
      <c r="AD123" s="1083"/>
      <c r="AE123" s="1083"/>
      <c r="AF123" s="1083"/>
      <c r="AG123" s="1083"/>
      <c r="AH123" s="1083"/>
      <c r="AI123" s="1083"/>
      <c r="AJ123" s="1083"/>
      <c r="AK123" s="1083"/>
    </row>
    <row r="124" spans="1:39" x14ac:dyDescent="0.35">
      <c r="A124" s="484"/>
      <c r="B124" s="484"/>
      <c r="C124" s="484"/>
      <c r="D124" s="484"/>
      <c r="E124" s="484"/>
      <c r="F124" s="1277"/>
      <c r="G124" s="484"/>
      <c r="H124" s="484"/>
      <c r="I124" s="484"/>
      <c r="J124" s="484"/>
      <c r="K124" s="484"/>
      <c r="L124" s="484"/>
      <c r="M124" s="484"/>
      <c r="N124" s="484"/>
      <c r="O124" s="484"/>
      <c r="P124" s="484"/>
      <c r="Q124" s="484"/>
      <c r="R124" s="484"/>
      <c r="S124" s="484"/>
      <c r="T124" s="1083"/>
      <c r="U124" s="1311"/>
      <c r="V124" s="1083"/>
      <c r="W124" s="1083"/>
      <c r="X124" s="1083"/>
      <c r="Y124" s="1083"/>
      <c r="Z124" s="1083"/>
      <c r="AA124" s="1083"/>
      <c r="AB124" s="1083"/>
      <c r="AC124" s="1083"/>
      <c r="AD124" s="1083"/>
      <c r="AE124" s="1083"/>
      <c r="AF124" s="1083"/>
      <c r="AG124" s="1083"/>
      <c r="AH124" s="1083"/>
      <c r="AI124" s="1083"/>
      <c r="AJ124" s="1083"/>
      <c r="AK124" s="1083"/>
    </row>
    <row r="125" spans="1:39" x14ac:dyDescent="0.35">
      <c r="A125" s="484"/>
      <c r="B125" s="484"/>
      <c r="C125" s="484"/>
      <c r="D125" s="484"/>
      <c r="E125" s="484"/>
      <c r="F125" s="1277"/>
      <c r="G125" s="484"/>
      <c r="H125" s="484"/>
      <c r="I125" s="484"/>
      <c r="J125" s="484"/>
      <c r="K125" s="484"/>
      <c r="L125" s="484"/>
      <c r="M125" s="484"/>
      <c r="N125" s="484"/>
      <c r="O125" s="484"/>
      <c r="P125" s="484"/>
      <c r="Q125" s="484"/>
      <c r="R125" s="484"/>
      <c r="S125" s="484"/>
      <c r="T125" s="1083"/>
      <c r="U125" s="1311"/>
      <c r="V125" s="1083"/>
      <c r="W125" s="1083"/>
      <c r="X125" s="1083"/>
      <c r="Y125" s="1083"/>
      <c r="Z125" s="1083"/>
      <c r="AA125" s="1083"/>
      <c r="AB125" s="1083"/>
      <c r="AC125" s="1083"/>
      <c r="AD125" s="1083"/>
      <c r="AE125" s="1083"/>
      <c r="AF125" s="1083"/>
      <c r="AG125" s="1083"/>
      <c r="AH125" s="1083"/>
      <c r="AI125" s="1083"/>
      <c r="AJ125" s="1083"/>
      <c r="AK125" s="1083"/>
    </row>
    <row r="126" spans="1:39" x14ac:dyDescent="0.35">
      <c r="A126" s="484"/>
      <c r="B126" s="484"/>
      <c r="C126" s="484"/>
      <c r="D126" s="484"/>
      <c r="E126" s="484"/>
      <c r="F126" s="1277"/>
      <c r="G126" s="484"/>
      <c r="H126" s="484"/>
      <c r="I126" s="484"/>
      <c r="J126" s="484"/>
      <c r="K126" s="484"/>
      <c r="L126" s="484"/>
      <c r="M126" s="484"/>
      <c r="N126" s="484"/>
      <c r="O126" s="484"/>
      <c r="P126" s="484"/>
      <c r="Q126" s="484"/>
      <c r="R126" s="484"/>
      <c r="S126" s="484"/>
      <c r="T126" s="1083"/>
      <c r="U126" s="1311"/>
      <c r="V126" s="1083"/>
      <c r="W126" s="1083"/>
      <c r="X126" s="1083"/>
      <c r="Y126" s="1083"/>
      <c r="Z126" s="1083"/>
      <c r="AA126" s="1083"/>
      <c r="AB126" s="1083"/>
      <c r="AC126" s="1083"/>
      <c r="AD126" s="1083"/>
      <c r="AE126" s="1083"/>
      <c r="AF126" s="1083"/>
      <c r="AG126" s="1083"/>
      <c r="AH126" s="1083"/>
      <c r="AI126" s="1083"/>
      <c r="AJ126" s="1083"/>
      <c r="AK126" s="1083"/>
    </row>
    <row r="127" spans="1:39" x14ac:dyDescent="0.35">
      <c r="A127" s="484"/>
      <c r="B127" s="484"/>
      <c r="C127" s="484"/>
      <c r="D127" s="484"/>
      <c r="E127" s="484"/>
      <c r="F127" s="1277"/>
      <c r="G127" s="484"/>
      <c r="H127" s="484"/>
      <c r="I127" s="484"/>
      <c r="J127" s="484"/>
      <c r="K127" s="484"/>
      <c r="L127" s="484"/>
      <c r="M127" s="484"/>
      <c r="N127" s="484"/>
      <c r="O127" s="484"/>
      <c r="P127" s="484"/>
      <c r="Q127" s="484"/>
      <c r="R127" s="484"/>
      <c r="S127" s="484"/>
      <c r="T127" s="1083"/>
      <c r="U127" s="1311"/>
      <c r="V127" s="1083"/>
      <c r="W127" s="1083"/>
      <c r="X127" s="1083"/>
      <c r="Y127" s="1083"/>
      <c r="Z127" s="1083"/>
      <c r="AA127" s="1083"/>
      <c r="AB127" s="1083"/>
      <c r="AC127" s="1083"/>
      <c r="AD127" s="1083"/>
      <c r="AE127" s="1083"/>
      <c r="AF127" s="1083"/>
      <c r="AG127" s="1083"/>
      <c r="AH127" s="1083"/>
      <c r="AI127" s="1083"/>
      <c r="AJ127" s="1083"/>
      <c r="AK127" s="1083"/>
    </row>
    <row r="128" spans="1:39" x14ac:dyDescent="0.35">
      <c r="A128" s="484"/>
      <c r="B128" s="484"/>
      <c r="C128" s="484"/>
      <c r="D128" s="484"/>
      <c r="E128" s="484"/>
      <c r="F128" s="1277"/>
      <c r="G128" s="484"/>
      <c r="H128" s="484"/>
      <c r="I128" s="484"/>
      <c r="J128" s="484"/>
      <c r="K128" s="484"/>
      <c r="L128" s="484"/>
      <c r="M128" s="484"/>
      <c r="N128" s="484"/>
      <c r="O128" s="484"/>
      <c r="P128" s="484"/>
      <c r="Q128" s="484"/>
      <c r="R128" s="484"/>
      <c r="S128" s="484"/>
      <c r="T128" s="1083"/>
      <c r="U128" s="1311"/>
      <c r="V128" s="1083"/>
      <c r="W128" s="1083"/>
      <c r="X128" s="1083"/>
      <c r="Y128" s="1083"/>
      <c r="Z128" s="1083"/>
      <c r="AA128" s="1083"/>
      <c r="AB128" s="1083"/>
      <c r="AC128" s="1083"/>
      <c r="AD128" s="1083"/>
      <c r="AE128" s="1083"/>
      <c r="AF128" s="1083"/>
      <c r="AG128" s="1083"/>
      <c r="AH128" s="1083"/>
      <c r="AI128" s="1083"/>
      <c r="AJ128" s="1083"/>
      <c r="AK128" s="1083"/>
    </row>
    <row r="129" spans="1:37" x14ac:dyDescent="0.35">
      <c r="A129" s="484"/>
      <c r="B129" s="484"/>
      <c r="C129" s="484"/>
      <c r="D129" s="484"/>
      <c r="E129" s="484"/>
      <c r="F129" s="1277"/>
      <c r="G129" s="484"/>
      <c r="H129" s="484"/>
      <c r="I129" s="484"/>
      <c r="J129" s="484"/>
      <c r="K129" s="484"/>
      <c r="L129" s="484"/>
      <c r="M129" s="484"/>
      <c r="N129" s="484"/>
      <c r="O129" s="484"/>
      <c r="P129" s="484"/>
      <c r="Q129" s="484"/>
      <c r="R129" s="484"/>
      <c r="S129" s="484"/>
      <c r="T129" s="1083"/>
      <c r="U129" s="1311"/>
      <c r="V129" s="1083"/>
      <c r="W129" s="1083"/>
      <c r="X129" s="1083"/>
      <c r="Y129" s="1083"/>
      <c r="Z129" s="1083"/>
      <c r="AA129" s="1083"/>
      <c r="AB129" s="1083"/>
      <c r="AC129" s="1083"/>
      <c r="AD129" s="1083"/>
      <c r="AE129" s="1083"/>
      <c r="AF129" s="1083"/>
      <c r="AG129" s="1083"/>
      <c r="AH129" s="1083"/>
      <c r="AI129" s="1083"/>
      <c r="AJ129" s="1083"/>
      <c r="AK129" s="1083"/>
    </row>
    <row r="130" spans="1:37" x14ac:dyDescent="0.35">
      <c r="A130" s="484"/>
      <c r="B130" s="484"/>
      <c r="C130" s="484"/>
      <c r="D130" s="484"/>
      <c r="E130" s="484"/>
      <c r="F130" s="1277"/>
      <c r="G130" s="484"/>
      <c r="H130" s="484"/>
      <c r="I130" s="484"/>
      <c r="J130" s="484"/>
      <c r="K130" s="484"/>
      <c r="L130" s="484"/>
      <c r="M130" s="484"/>
      <c r="N130" s="484"/>
      <c r="O130" s="484"/>
      <c r="P130" s="484"/>
      <c r="Q130" s="484"/>
      <c r="R130" s="484"/>
      <c r="S130" s="484"/>
      <c r="T130" s="1083"/>
      <c r="U130" s="1311"/>
      <c r="V130" s="1083"/>
      <c r="W130" s="1083"/>
      <c r="X130" s="1083"/>
      <c r="Y130" s="1083"/>
      <c r="Z130" s="1083"/>
      <c r="AA130" s="1083"/>
      <c r="AB130" s="1083"/>
      <c r="AC130" s="1083"/>
      <c r="AD130" s="1083"/>
      <c r="AE130" s="1083"/>
      <c r="AF130" s="1083"/>
      <c r="AG130" s="1083"/>
      <c r="AH130" s="1083"/>
      <c r="AI130" s="1083"/>
      <c r="AJ130" s="1083"/>
      <c r="AK130" s="1083"/>
    </row>
    <row r="131" spans="1:37" x14ac:dyDescent="0.35">
      <c r="A131" s="484"/>
      <c r="B131" s="484"/>
      <c r="C131" s="484"/>
      <c r="D131" s="484"/>
      <c r="E131" s="484"/>
      <c r="F131" s="1277"/>
      <c r="G131" s="484"/>
      <c r="H131" s="484"/>
      <c r="I131" s="484"/>
      <c r="J131" s="484"/>
      <c r="K131" s="484"/>
      <c r="L131" s="484"/>
      <c r="M131" s="484"/>
      <c r="N131" s="484"/>
      <c r="O131" s="484"/>
      <c r="P131" s="484"/>
      <c r="Q131" s="484"/>
      <c r="R131" s="484"/>
      <c r="S131" s="484"/>
      <c r="T131" s="1083"/>
      <c r="U131" s="1311"/>
      <c r="V131" s="1083"/>
      <c r="W131" s="1083"/>
      <c r="X131" s="1083"/>
      <c r="Y131" s="1083"/>
      <c r="Z131" s="1083"/>
      <c r="AA131" s="1083"/>
      <c r="AB131" s="1083"/>
      <c r="AC131" s="1083"/>
      <c r="AD131" s="1083"/>
      <c r="AE131" s="1083"/>
      <c r="AF131" s="1083"/>
      <c r="AG131" s="1083"/>
      <c r="AH131" s="1083"/>
      <c r="AI131" s="1083"/>
      <c r="AJ131" s="1083"/>
      <c r="AK131" s="1083"/>
    </row>
    <row r="132" spans="1:37" x14ac:dyDescent="0.35">
      <c r="A132" s="484"/>
      <c r="B132" s="484"/>
      <c r="C132" s="484"/>
      <c r="D132" s="484"/>
      <c r="E132" s="484"/>
      <c r="F132" s="1277"/>
      <c r="G132" s="484"/>
      <c r="H132" s="484"/>
      <c r="I132" s="484"/>
      <c r="J132" s="484"/>
      <c r="K132" s="484"/>
      <c r="L132" s="484"/>
      <c r="M132" s="484"/>
      <c r="N132" s="484"/>
      <c r="O132" s="484"/>
      <c r="P132" s="484"/>
      <c r="Q132" s="484"/>
      <c r="R132" s="484"/>
      <c r="S132" s="484"/>
      <c r="T132" s="1083"/>
      <c r="U132" s="1311"/>
      <c r="V132" s="1083"/>
      <c r="W132" s="1083"/>
      <c r="X132" s="1083"/>
      <c r="Y132" s="1083"/>
      <c r="Z132" s="1083"/>
      <c r="AA132" s="1083"/>
      <c r="AB132" s="1083"/>
      <c r="AC132" s="1083"/>
      <c r="AD132" s="1083"/>
      <c r="AE132" s="1083"/>
      <c r="AF132" s="1083"/>
      <c r="AG132" s="1083"/>
      <c r="AH132" s="1083"/>
      <c r="AI132" s="1083"/>
      <c r="AJ132" s="1083"/>
      <c r="AK132" s="1083"/>
    </row>
    <row r="133" spans="1:37" x14ac:dyDescent="0.35">
      <c r="A133" s="484"/>
      <c r="B133" s="484"/>
      <c r="C133" s="484"/>
      <c r="D133" s="484"/>
      <c r="E133" s="484"/>
      <c r="F133" s="1277"/>
      <c r="G133" s="484"/>
      <c r="H133" s="484"/>
      <c r="I133" s="484"/>
      <c r="J133" s="484"/>
      <c r="K133" s="484"/>
      <c r="L133" s="484"/>
      <c r="M133" s="484"/>
      <c r="N133" s="484"/>
      <c r="O133" s="484"/>
      <c r="P133" s="484"/>
      <c r="Q133" s="484"/>
      <c r="R133" s="484"/>
      <c r="S133" s="484"/>
      <c r="T133" s="1083"/>
      <c r="U133" s="1311"/>
      <c r="V133" s="1083"/>
      <c r="W133" s="1083"/>
      <c r="X133" s="1083"/>
      <c r="Y133" s="1083"/>
      <c r="Z133" s="1083"/>
      <c r="AA133" s="1083"/>
      <c r="AB133" s="1083"/>
      <c r="AC133" s="1083"/>
      <c r="AD133" s="1083"/>
      <c r="AE133" s="1083"/>
      <c r="AF133" s="1083"/>
      <c r="AG133" s="1083"/>
      <c r="AH133" s="1083"/>
      <c r="AI133" s="1083"/>
      <c r="AJ133" s="1083"/>
      <c r="AK133" s="1083"/>
    </row>
    <row r="134" spans="1:37" x14ac:dyDescent="0.35">
      <c r="A134" s="484"/>
      <c r="B134" s="484"/>
      <c r="C134" s="484"/>
      <c r="D134" s="484"/>
      <c r="E134" s="484"/>
      <c r="F134" s="1277"/>
      <c r="G134" s="484"/>
      <c r="H134" s="484"/>
      <c r="I134" s="484"/>
      <c r="J134" s="484"/>
      <c r="K134" s="484"/>
      <c r="L134" s="484"/>
      <c r="M134" s="484"/>
      <c r="N134" s="484"/>
      <c r="O134" s="484"/>
      <c r="P134" s="484"/>
      <c r="Q134" s="484"/>
      <c r="R134" s="484"/>
      <c r="S134" s="484"/>
      <c r="T134" s="1083"/>
      <c r="U134" s="1311"/>
      <c r="V134" s="1083"/>
      <c r="W134" s="1083"/>
      <c r="X134" s="1083"/>
      <c r="Y134" s="1083"/>
      <c r="Z134" s="1083"/>
      <c r="AA134" s="1083"/>
      <c r="AB134" s="1083"/>
      <c r="AC134" s="1083"/>
      <c r="AD134" s="1083"/>
      <c r="AE134" s="1083"/>
      <c r="AF134" s="1083"/>
      <c r="AG134" s="1083"/>
      <c r="AH134" s="1083"/>
      <c r="AI134" s="1083"/>
      <c r="AJ134" s="1083"/>
      <c r="AK134" s="1083"/>
    </row>
    <row r="135" spans="1:37" x14ac:dyDescent="0.35">
      <c r="A135" s="484"/>
      <c r="B135" s="484"/>
      <c r="C135" s="484"/>
      <c r="D135" s="484"/>
      <c r="E135" s="484"/>
      <c r="F135" s="1277"/>
      <c r="G135" s="484"/>
      <c r="H135" s="484"/>
      <c r="I135" s="484"/>
      <c r="J135" s="484"/>
      <c r="K135" s="484"/>
      <c r="L135" s="484"/>
      <c r="M135" s="484"/>
      <c r="N135" s="484"/>
      <c r="O135" s="484"/>
      <c r="P135" s="484"/>
      <c r="Q135" s="484"/>
      <c r="R135" s="484"/>
      <c r="S135" s="484"/>
      <c r="T135" s="1083"/>
      <c r="U135" s="1311"/>
      <c r="V135" s="1083"/>
      <c r="W135" s="1083"/>
      <c r="X135" s="1083"/>
      <c r="Y135" s="1083"/>
      <c r="Z135" s="1083"/>
      <c r="AA135" s="1083"/>
      <c r="AB135" s="1083"/>
      <c r="AC135" s="1083"/>
      <c r="AD135" s="1083"/>
      <c r="AE135" s="1083"/>
      <c r="AF135" s="1083"/>
      <c r="AG135" s="1083"/>
      <c r="AH135" s="1083"/>
      <c r="AI135" s="1083"/>
      <c r="AJ135" s="1083"/>
      <c r="AK135" s="1083"/>
    </row>
    <row r="136" spans="1:37" x14ac:dyDescent="0.35">
      <c r="A136" s="484"/>
      <c r="B136" s="484"/>
      <c r="C136" s="484"/>
      <c r="D136" s="484"/>
      <c r="E136" s="484"/>
      <c r="F136" s="1277"/>
      <c r="G136" s="484"/>
      <c r="H136" s="484"/>
      <c r="I136" s="484"/>
      <c r="J136" s="484"/>
      <c r="K136" s="484"/>
      <c r="L136" s="484"/>
      <c r="M136" s="484"/>
      <c r="N136" s="484"/>
      <c r="O136" s="484"/>
      <c r="P136" s="484"/>
      <c r="Q136" s="484"/>
      <c r="R136" s="484"/>
      <c r="S136" s="484"/>
      <c r="T136" s="1083"/>
      <c r="U136" s="1311"/>
      <c r="V136" s="1083"/>
      <c r="W136" s="1083"/>
      <c r="X136" s="1083"/>
      <c r="Y136" s="1083"/>
      <c r="Z136" s="1083"/>
      <c r="AA136" s="1083"/>
      <c r="AB136" s="1083"/>
      <c r="AC136" s="1083"/>
      <c r="AD136" s="1083"/>
      <c r="AE136" s="1083"/>
      <c r="AF136" s="1083"/>
      <c r="AG136" s="1083"/>
      <c r="AH136" s="1083"/>
      <c r="AI136" s="1083"/>
      <c r="AJ136" s="1083"/>
      <c r="AK136" s="1083"/>
    </row>
    <row r="137" spans="1:37" x14ac:dyDescent="0.35">
      <c r="A137" s="484"/>
      <c r="B137" s="484"/>
      <c r="C137" s="484"/>
      <c r="D137" s="484"/>
      <c r="E137" s="484"/>
      <c r="F137" s="1277"/>
      <c r="G137" s="484"/>
      <c r="H137" s="484"/>
      <c r="I137" s="484"/>
      <c r="J137" s="484"/>
      <c r="K137" s="484"/>
      <c r="L137" s="484"/>
      <c r="M137" s="484"/>
      <c r="N137" s="484"/>
      <c r="O137" s="484"/>
      <c r="P137" s="484"/>
      <c r="Q137" s="484"/>
      <c r="R137" s="484"/>
      <c r="S137" s="484"/>
      <c r="T137" s="1083"/>
      <c r="U137" s="1311"/>
      <c r="V137" s="1083"/>
      <c r="W137" s="1083"/>
      <c r="X137" s="1083"/>
      <c r="Y137" s="1083"/>
      <c r="Z137" s="1083"/>
      <c r="AA137" s="1083"/>
      <c r="AB137" s="1083"/>
      <c r="AC137" s="1083"/>
      <c r="AD137" s="1083"/>
      <c r="AE137" s="1083"/>
      <c r="AF137" s="1083"/>
      <c r="AG137" s="1083"/>
      <c r="AH137" s="1083"/>
      <c r="AI137" s="1083"/>
      <c r="AJ137" s="1083"/>
      <c r="AK137" s="1083"/>
    </row>
    <row r="138" spans="1:37" x14ac:dyDescent="0.35">
      <c r="A138" s="484"/>
      <c r="B138" s="484"/>
      <c r="C138" s="484"/>
      <c r="D138" s="484"/>
      <c r="E138" s="484"/>
      <c r="F138" s="1277"/>
      <c r="G138" s="484"/>
      <c r="H138" s="484"/>
      <c r="I138" s="484"/>
      <c r="J138" s="484"/>
      <c r="K138" s="484"/>
      <c r="L138" s="484"/>
      <c r="M138" s="484"/>
      <c r="N138" s="484"/>
      <c r="O138" s="484"/>
      <c r="P138" s="484"/>
      <c r="Q138" s="484"/>
      <c r="R138" s="484"/>
      <c r="S138" s="484"/>
      <c r="T138" s="1083"/>
      <c r="U138" s="1311"/>
      <c r="V138" s="1083"/>
      <c r="W138" s="1083"/>
      <c r="X138" s="1083"/>
      <c r="Y138" s="1083"/>
      <c r="Z138" s="1083"/>
      <c r="AA138" s="1083"/>
      <c r="AB138" s="1083"/>
      <c r="AC138" s="1083"/>
      <c r="AD138" s="1083"/>
      <c r="AE138" s="1083"/>
      <c r="AF138" s="1083"/>
      <c r="AG138" s="1083"/>
      <c r="AH138" s="1083"/>
      <c r="AI138" s="1083"/>
      <c r="AJ138" s="1083"/>
      <c r="AK138" s="1083"/>
    </row>
    <row r="139" spans="1:37" x14ac:dyDescent="0.35">
      <c r="A139" s="484"/>
      <c r="B139" s="484"/>
      <c r="C139" s="484"/>
      <c r="D139" s="484"/>
      <c r="E139" s="484"/>
      <c r="F139" s="1277"/>
      <c r="G139" s="484"/>
      <c r="H139" s="484"/>
      <c r="I139" s="484"/>
      <c r="J139" s="484"/>
      <c r="K139" s="484"/>
      <c r="L139" s="484"/>
      <c r="M139" s="484"/>
      <c r="N139" s="484"/>
      <c r="O139" s="484"/>
      <c r="P139" s="484"/>
      <c r="Q139" s="484"/>
      <c r="R139" s="484"/>
      <c r="S139" s="484"/>
      <c r="T139" s="1083"/>
      <c r="U139" s="1311"/>
      <c r="V139" s="1083"/>
      <c r="W139" s="1083"/>
      <c r="X139" s="1083"/>
      <c r="Y139" s="1083"/>
      <c r="Z139" s="1083"/>
      <c r="AA139" s="1083"/>
      <c r="AB139" s="1083"/>
      <c r="AC139" s="1083"/>
      <c r="AD139" s="1083"/>
      <c r="AE139" s="1083"/>
      <c r="AF139" s="1083"/>
      <c r="AG139" s="1083"/>
      <c r="AH139" s="1083"/>
      <c r="AI139" s="1083"/>
      <c r="AJ139" s="1083"/>
      <c r="AK139" s="1083"/>
    </row>
    <row r="140" spans="1:37" x14ac:dyDescent="0.35">
      <c r="A140" s="484"/>
      <c r="B140" s="484"/>
      <c r="C140" s="484"/>
      <c r="D140" s="484"/>
      <c r="E140" s="484"/>
      <c r="F140" s="1277"/>
      <c r="G140" s="484"/>
      <c r="H140" s="484"/>
      <c r="I140" s="484"/>
      <c r="J140" s="484"/>
      <c r="K140" s="484"/>
      <c r="L140" s="484"/>
      <c r="M140" s="484"/>
      <c r="N140" s="484"/>
      <c r="O140" s="484"/>
      <c r="P140" s="484"/>
      <c r="Q140" s="484"/>
      <c r="R140" s="484"/>
      <c r="S140" s="484"/>
      <c r="T140" s="1083"/>
      <c r="U140" s="1311"/>
      <c r="V140" s="1083"/>
      <c r="W140" s="1083"/>
      <c r="X140" s="1083"/>
      <c r="Y140" s="1083"/>
      <c r="Z140" s="1083"/>
      <c r="AA140" s="1083"/>
      <c r="AB140" s="1083"/>
      <c r="AC140" s="1083"/>
      <c r="AD140" s="1083"/>
      <c r="AE140" s="1083"/>
      <c r="AF140" s="1083"/>
      <c r="AG140" s="1083"/>
      <c r="AH140" s="1083"/>
      <c r="AI140" s="1083"/>
      <c r="AJ140" s="1083"/>
      <c r="AK140" s="1083"/>
    </row>
    <row r="141" spans="1:37" x14ac:dyDescent="0.35">
      <c r="A141" s="484"/>
      <c r="B141" s="484"/>
      <c r="C141" s="484"/>
      <c r="D141" s="484"/>
      <c r="E141" s="484"/>
      <c r="F141" s="1277"/>
      <c r="G141" s="484"/>
      <c r="H141" s="484"/>
      <c r="I141" s="484"/>
      <c r="J141" s="484"/>
      <c r="K141" s="484"/>
      <c r="L141" s="484"/>
      <c r="M141" s="484"/>
      <c r="N141" s="484"/>
      <c r="O141" s="484"/>
      <c r="P141" s="484"/>
      <c r="Q141" s="484"/>
      <c r="R141" s="484"/>
      <c r="S141" s="484"/>
      <c r="T141" s="1083"/>
      <c r="U141" s="1311"/>
      <c r="V141" s="1083"/>
      <c r="W141" s="1083"/>
      <c r="X141" s="1083"/>
      <c r="Y141" s="1083"/>
      <c r="Z141" s="1083"/>
      <c r="AA141" s="1083"/>
      <c r="AB141" s="1083"/>
      <c r="AC141" s="1083"/>
      <c r="AD141" s="1083"/>
      <c r="AE141" s="1083"/>
      <c r="AF141" s="1083"/>
      <c r="AG141" s="1083"/>
      <c r="AH141" s="1083"/>
      <c r="AI141" s="1083"/>
      <c r="AJ141" s="1083"/>
      <c r="AK141" s="1083"/>
    </row>
    <row r="142" spans="1:37" x14ac:dyDescent="0.35">
      <c r="A142" s="484"/>
      <c r="B142" s="484"/>
      <c r="C142" s="484"/>
      <c r="D142" s="484"/>
      <c r="E142" s="484"/>
      <c r="F142" s="1277"/>
      <c r="G142" s="484"/>
      <c r="H142" s="484"/>
      <c r="I142" s="484"/>
      <c r="J142" s="484"/>
      <c r="K142" s="484"/>
      <c r="L142" s="484"/>
      <c r="M142" s="484"/>
      <c r="N142" s="484"/>
      <c r="O142" s="484"/>
      <c r="P142" s="484"/>
      <c r="Q142" s="484"/>
      <c r="R142" s="484"/>
      <c r="S142" s="484"/>
      <c r="T142" s="1083"/>
      <c r="U142" s="1311"/>
      <c r="V142" s="1083"/>
      <c r="W142" s="1083"/>
      <c r="X142" s="1083"/>
      <c r="Y142" s="1083"/>
      <c r="Z142" s="1083"/>
      <c r="AA142" s="1083"/>
      <c r="AB142" s="1083"/>
      <c r="AC142" s="1083"/>
      <c r="AD142" s="1083"/>
      <c r="AE142" s="1083"/>
      <c r="AF142" s="1083"/>
      <c r="AG142" s="1083"/>
      <c r="AH142" s="1083"/>
      <c r="AI142" s="1083"/>
      <c r="AJ142" s="1083"/>
      <c r="AK142" s="1083"/>
    </row>
    <row r="143" spans="1:37" x14ac:dyDescent="0.35">
      <c r="A143" s="484"/>
      <c r="B143" s="484"/>
      <c r="C143" s="484"/>
      <c r="D143" s="484"/>
      <c r="E143" s="484"/>
      <c r="F143" s="1277"/>
      <c r="G143" s="484"/>
      <c r="H143" s="484"/>
      <c r="I143" s="484"/>
      <c r="J143" s="484"/>
      <c r="K143" s="484"/>
      <c r="L143" s="484"/>
      <c r="M143" s="484"/>
      <c r="N143" s="484"/>
      <c r="O143" s="484"/>
      <c r="P143" s="484"/>
      <c r="Q143" s="484"/>
      <c r="R143" s="484"/>
      <c r="S143" s="484"/>
      <c r="T143" s="1083"/>
      <c r="U143" s="1311"/>
      <c r="V143" s="1083"/>
      <c r="W143" s="1083"/>
      <c r="X143" s="1083"/>
      <c r="Y143" s="1083"/>
      <c r="Z143" s="1083"/>
      <c r="AA143" s="1083"/>
      <c r="AB143" s="1083"/>
      <c r="AC143" s="1083"/>
      <c r="AD143" s="1083"/>
      <c r="AE143" s="1083"/>
      <c r="AF143" s="1083"/>
      <c r="AG143" s="1083"/>
      <c r="AH143" s="1083"/>
      <c r="AI143" s="1083"/>
      <c r="AJ143" s="1083"/>
      <c r="AK143" s="1083"/>
    </row>
    <row r="144" spans="1:37" x14ac:dyDescent="0.35">
      <c r="A144" s="484"/>
      <c r="B144" s="484"/>
      <c r="C144" s="484"/>
      <c r="D144" s="484"/>
      <c r="E144" s="484"/>
      <c r="F144" s="1277"/>
      <c r="G144" s="484"/>
      <c r="H144" s="484"/>
      <c r="I144" s="484"/>
      <c r="J144" s="484"/>
      <c r="K144" s="484"/>
      <c r="L144" s="484"/>
      <c r="M144" s="484"/>
      <c r="N144" s="484"/>
      <c r="O144" s="484"/>
      <c r="P144" s="484"/>
      <c r="Q144" s="484"/>
      <c r="R144" s="484"/>
      <c r="S144" s="484"/>
      <c r="T144" s="1083"/>
      <c r="U144" s="1311"/>
      <c r="V144" s="1083"/>
      <c r="W144" s="1083"/>
      <c r="X144" s="1083"/>
      <c r="Y144" s="1083"/>
      <c r="Z144" s="1083"/>
      <c r="AA144" s="1083"/>
      <c r="AB144" s="1083"/>
      <c r="AC144" s="1083"/>
      <c r="AD144" s="1083"/>
      <c r="AE144" s="1083"/>
      <c r="AF144" s="1083"/>
      <c r="AG144" s="1083"/>
      <c r="AH144" s="1083"/>
      <c r="AI144" s="1083"/>
      <c r="AJ144" s="1083"/>
      <c r="AK144" s="1083"/>
    </row>
    <row r="145" spans="1:37" x14ac:dyDescent="0.35">
      <c r="A145" s="484"/>
      <c r="B145" s="484"/>
      <c r="C145" s="484"/>
      <c r="D145" s="484"/>
      <c r="E145" s="484"/>
      <c r="F145" s="1277"/>
      <c r="G145" s="484"/>
      <c r="H145" s="484"/>
      <c r="I145" s="484"/>
      <c r="J145" s="484"/>
      <c r="K145" s="484"/>
      <c r="L145" s="484"/>
      <c r="M145" s="484"/>
      <c r="N145" s="484"/>
      <c r="O145" s="484"/>
      <c r="P145" s="484"/>
      <c r="Q145" s="484"/>
      <c r="R145" s="484"/>
      <c r="S145" s="484"/>
      <c r="T145" s="1083"/>
      <c r="U145" s="1311"/>
      <c r="V145" s="1083"/>
      <c r="W145" s="1083"/>
      <c r="X145" s="1083"/>
      <c r="Y145" s="1083"/>
      <c r="Z145" s="1083"/>
      <c r="AA145" s="1083"/>
      <c r="AB145" s="1083"/>
      <c r="AC145" s="1083"/>
      <c r="AD145" s="1083"/>
      <c r="AE145" s="1083"/>
      <c r="AF145" s="1083"/>
      <c r="AG145" s="1083"/>
      <c r="AH145" s="1083"/>
      <c r="AI145" s="1083"/>
      <c r="AJ145" s="1083"/>
      <c r="AK145" s="1083"/>
    </row>
    <row r="146" spans="1:37" x14ac:dyDescent="0.35">
      <c r="A146" s="484"/>
      <c r="B146" s="484"/>
      <c r="C146" s="484"/>
      <c r="D146" s="484"/>
      <c r="E146" s="484"/>
      <c r="F146" s="1277"/>
      <c r="G146" s="484"/>
      <c r="H146" s="484"/>
      <c r="I146" s="484"/>
      <c r="J146" s="484"/>
      <c r="K146" s="484"/>
      <c r="L146" s="484"/>
      <c r="M146" s="484"/>
      <c r="N146" s="484"/>
      <c r="O146" s="484"/>
      <c r="P146" s="484"/>
      <c r="Q146" s="484"/>
      <c r="R146" s="484"/>
      <c r="S146" s="484"/>
      <c r="T146" s="1083"/>
      <c r="U146" s="1311"/>
      <c r="V146" s="1083"/>
      <c r="W146" s="1083"/>
      <c r="X146" s="1083"/>
      <c r="Y146" s="1083"/>
      <c r="Z146" s="1083"/>
      <c r="AA146" s="1083"/>
      <c r="AB146" s="1083"/>
      <c r="AC146" s="1083"/>
      <c r="AD146" s="1083"/>
      <c r="AE146" s="1083"/>
      <c r="AF146" s="1083"/>
      <c r="AG146" s="1083"/>
      <c r="AH146" s="1083"/>
      <c r="AI146" s="1083"/>
      <c r="AJ146" s="1083"/>
      <c r="AK146" s="1083"/>
    </row>
    <row r="147" spans="1:37" x14ac:dyDescent="0.35">
      <c r="A147" s="484"/>
      <c r="B147" s="484"/>
      <c r="C147" s="484"/>
      <c r="D147" s="484"/>
      <c r="E147" s="484"/>
      <c r="F147" s="1277"/>
      <c r="G147" s="484"/>
      <c r="H147" s="484"/>
      <c r="I147" s="484"/>
      <c r="J147" s="484"/>
      <c r="K147" s="484"/>
      <c r="L147" s="484"/>
      <c r="M147" s="484"/>
      <c r="N147" s="484"/>
      <c r="O147" s="484"/>
      <c r="P147" s="484"/>
      <c r="Q147" s="484"/>
      <c r="R147" s="484"/>
      <c r="S147" s="484"/>
      <c r="T147" s="1083"/>
      <c r="U147" s="1311"/>
      <c r="V147" s="1083"/>
      <c r="W147" s="1083"/>
      <c r="X147" s="1083"/>
      <c r="Y147" s="1083"/>
      <c r="Z147" s="1083"/>
      <c r="AA147" s="1083"/>
      <c r="AB147" s="1083"/>
      <c r="AC147" s="1083"/>
      <c r="AD147" s="1083"/>
      <c r="AE147" s="1083"/>
      <c r="AF147" s="1083"/>
      <c r="AG147" s="1083"/>
      <c r="AH147" s="1083"/>
      <c r="AI147" s="1083"/>
      <c r="AJ147" s="1083"/>
      <c r="AK147" s="1083"/>
    </row>
    <row r="148" spans="1:37" x14ac:dyDescent="0.35">
      <c r="A148" s="484"/>
      <c r="B148" s="484"/>
      <c r="C148" s="484"/>
      <c r="D148" s="484"/>
      <c r="E148" s="484"/>
      <c r="F148" s="1277"/>
      <c r="G148" s="484"/>
      <c r="H148" s="484"/>
      <c r="I148" s="484"/>
      <c r="J148" s="484"/>
      <c r="K148" s="484"/>
      <c r="L148" s="484"/>
      <c r="M148" s="484"/>
      <c r="N148" s="484"/>
      <c r="O148" s="484"/>
      <c r="P148" s="484"/>
      <c r="Q148" s="484"/>
      <c r="R148" s="484"/>
      <c r="S148" s="484"/>
      <c r="T148" s="1083"/>
      <c r="U148" s="1311"/>
      <c r="V148" s="1083"/>
      <c r="W148" s="1083"/>
      <c r="X148" s="1083"/>
      <c r="Y148" s="1083"/>
      <c r="Z148" s="1083"/>
      <c r="AA148" s="1083"/>
      <c r="AB148" s="1083"/>
      <c r="AC148" s="1083"/>
      <c r="AD148" s="1083"/>
      <c r="AE148" s="1083"/>
      <c r="AF148" s="1083"/>
      <c r="AG148" s="1083"/>
      <c r="AH148" s="1083"/>
      <c r="AI148" s="1083"/>
      <c r="AJ148" s="1083"/>
      <c r="AK148" s="1083"/>
    </row>
    <row r="149" spans="1:37" x14ac:dyDescent="0.35">
      <c r="A149" s="484"/>
      <c r="B149" s="484"/>
      <c r="C149" s="484"/>
      <c r="D149" s="484"/>
      <c r="E149" s="484"/>
      <c r="F149" s="1277"/>
      <c r="G149" s="484"/>
      <c r="H149" s="484"/>
      <c r="I149" s="484"/>
      <c r="J149" s="484"/>
      <c r="K149" s="484"/>
      <c r="L149" s="484"/>
      <c r="M149" s="484"/>
      <c r="N149" s="484"/>
      <c r="O149" s="484"/>
      <c r="P149" s="484"/>
      <c r="Q149" s="484"/>
      <c r="R149" s="484"/>
      <c r="S149" s="484"/>
      <c r="T149" s="1083"/>
      <c r="U149" s="1311"/>
      <c r="V149" s="1083"/>
      <c r="W149" s="1083"/>
      <c r="X149" s="1083"/>
      <c r="Y149" s="1083"/>
      <c r="Z149" s="1083"/>
      <c r="AA149" s="1083"/>
      <c r="AB149" s="1083"/>
      <c r="AC149" s="1083"/>
      <c r="AD149" s="1083"/>
      <c r="AE149" s="1083"/>
      <c r="AF149" s="1083"/>
      <c r="AG149" s="1083"/>
      <c r="AH149" s="1083"/>
      <c r="AI149" s="1083"/>
      <c r="AJ149" s="1083"/>
      <c r="AK149" s="1083"/>
    </row>
    <row r="150" spans="1:37" x14ac:dyDescent="0.35">
      <c r="A150" s="484"/>
      <c r="B150" s="484"/>
      <c r="C150" s="484"/>
      <c r="D150" s="484"/>
      <c r="E150" s="484"/>
      <c r="F150" s="1277"/>
      <c r="G150" s="484"/>
      <c r="H150" s="484"/>
      <c r="I150" s="484"/>
      <c r="J150" s="484"/>
      <c r="K150" s="484"/>
      <c r="L150" s="484"/>
      <c r="M150" s="484"/>
      <c r="N150" s="484"/>
      <c r="O150" s="484"/>
      <c r="P150" s="484"/>
      <c r="Q150" s="484"/>
      <c r="R150" s="484"/>
      <c r="S150" s="484"/>
      <c r="T150" s="1083"/>
      <c r="U150" s="1311"/>
      <c r="V150" s="1083"/>
      <c r="W150" s="1083"/>
      <c r="X150" s="1083"/>
      <c r="Y150" s="1083"/>
      <c r="Z150" s="1083"/>
      <c r="AA150" s="1083"/>
      <c r="AB150" s="1083"/>
      <c r="AC150" s="1083"/>
      <c r="AD150" s="1083"/>
      <c r="AE150" s="1083"/>
      <c r="AF150" s="1083"/>
      <c r="AG150" s="1083"/>
      <c r="AH150" s="1083"/>
      <c r="AI150" s="1083"/>
      <c r="AJ150" s="1083"/>
      <c r="AK150" s="1083"/>
    </row>
    <row r="151" spans="1:37" x14ac:dyDescent="0.35">
      <c r="A151" s="484"/>
      <c r="B151" s="484"/>
      <c r="C151" s="484"/>
      <c r="D151" s="484"/>
      <c r="E151" s="484"/>
      <c r="F151" s="1277"/>
      <c r="G151" s="484"/>
      <c r="H151" s="484"/>
      <c r="I151" s="484"/>
      <c r="J151" s="484"/>
      <c r="K151" s="484"/>
      <c r="L151" s="484"/>
      <c r="M151" s="484"/>
      <c r="N151" s="484"/>
      <c r="O151" s="484"/>
      <c r="P151" s="484"/>
      <c r="Q151" s="484"/>
      <c r="R151" s="484"/>
      <c r="S151" s="484"/>
      <c r="T151" s="1083"/>
      <c r="U151" s="1311"/>
      <c r="V151" s="1083"/>
      <c r="W151" s="1083"/>
      <c r="X151" s="1083"/>
      <c r="Y151" s="1083"/>
      <c r="Z151" s="1083"/>
      <c r="AA151" s="1083"/>
      <c r="AB151" s="1083"/>
      <c r="AC151" s="1083"/>
      <c r="AD151" s="1083"/>
      <c r="AE151" s="1083"/>
      <c r="AF151" s="1083"/>
      <c r="AG151" s="1083"/>
      <c r="AH151" s="1083"/>
      <c r="AI151" s="1083"/>
      <c r="AJ151" s="1083"/>
      <c r="AK151" s="1083"/>
    </row>
    <row r="152" spans="1:37" x14ac:dyDescent="0.35">
      <c r="A152" s="484"/>
      <c r="B152" s="484"/>
      <c r="C152" s="484"/>
      <c r="D152" s="484"/>
      <c r="E152" s="484"/>
      <c r="F152" s="1277"/>
      <c r="G152" s="484"/>
      <c r="H152" s="484"/>
      <c r="I152" s="484"/>
      <c r="J152" s="484"/>
      <c r="K152" s="484"/>
      <c r="L152" s="484"/>
      <c r="M152" s="484"/>
      <c r="N152" s="484"/>
      <c r="O152" s="484"/>
      <c r="P152" s="484"/>
      <c r="Q152" s="484"/>
      <c r="R152" s="484"/>
      <c r="S152" s="484"/>
      <c r="T152" s="1083"/>
      <c r="U152" s="1311"/>
      <c r="V152" s="1083"/>
      <c r="W152" s="1083"/>
      <c r="X152" s="1083"/>
      <c r="Y152" s="1083"/>
      <c r="Z152" s="1083"/>
      <c r="AA152" s="1083"/>
      <c r="AB152" s="1083"/>
      <c r="AC152" s="1083"/>
      <c r="AD152" s="1083"/>
      <c r="AE152" s="1083"/>
      <c r="AF152" s="1083"/>
      <c r="AG152" s="1083"/>
      <c r="AH152" s="1083"/>
      <c r="AI152" s="1083"/>
      <c r="AJ152" s="1083"/>
      <c r="AK152" s="1083"/>
    </row>
    <row r="153" spans="1:37" x14ac:dyDescent="0.35">
      <c r="A153" s="484"/>
      <c r="B153" s="484"/>
      <c r="C153" s="484"/>
      <c r="D153" s="484"/>
      <c r="E153" s="484"/>
      <c r="F153" s="1277"/>
      <c r="G153" s="484"/>
      <c r="H153" s="484"/>
      <c r="I153" s="484"/>
      <c r="J153" s="484"/>
      <c r="K153" s="484"/>
      <c r="L153" s="484"/>
      <c r="M153" s="484"/>
      <c r="N153" s="484"/>
      <c r="O153" s="484"/>
      <c r="P153" s="484"/>
      <c r="Q153" s="484"/>
      <c r="R153" s="484"/>
      <c r="S153" s="484"/>
      <c r="T153" s="1083"/>
      <c r="U153" s="1311"/>
      <c r="V153" s="1083"/>
      <c r="W153" s="1083"/>
      <c r="X153" s="1083"/>
      <c r="Y153" s="1083"/>
      <c r="Z153" s="1083"/>
      <c r="AA153" s="1083"/>
      <c r="AB153" s="1083"/>
      <c r="AC153" s="1083"/>
      <c r="AD153" s="1083"/>
      <c r="AE153" s="1083"/>
      <c r="AF153" s="1083"/>
      <c r="AG153" s="1083"/>
      <c r="AH153" s="1083"/>
      <c r="AI153" s="1083"/>
      <c r="AJ153" s="1083"/>
      <c r="AK153" s="1083"/>
    </row>
    <row r="154" spans="1:37" x14ac:dyDescent="0.35">
      <c r="A154" s="484"/>
      <c r="B154" s="484"/>
      <c r="C154" s="484"/>
      <c r="D154" s="484"/>
      <c r="E154" s="484"/>
      <c r="F154" s="1277"/>
      <c r="G154" s="484"/>
      <c r="H154" s="484"/>
      <c r="I154" s="484"/>
      <c r="J154" s="484"/>
      <c r="K154" s="484"/>
      <c r="L154" s="484"/>
      <c r="M154" s="484"/>
      <c r="N154" s="484"/>
      <c r="O154" s="484"/>
      <c r="P154" s="484"/>
      <c r="Q154" s="484"/>
      <c r="R154" s="484"/>
      <c r="S154" s="484"/>
      <c r="T154" s="1083"/>
      <c r="U154" s="1311"/>
      <c r="V154" s="1083"/>
      <c r="W154" s="1083"/>
      <c r="X154" s="1083"/>
      <c r="Y154" s="1083"/>
      <c r="Z154" s="1083"/>
      <c r="AA154" s="1083"/>
      <c r="AB154" s="1083"/>
      <c r="AC154" s="1083"/>
      <c r="AD154" s="1083"/>
      <c r="AE154" s="1083"/>
      <c r="AF154" s="1083"/>
      <c r="AG154" s="1083"/>
      <c r="AH154" s="1083"/>
      <c r="AI154" s="1083"/>
      <c r="AJ154" s="1083"/>
      <c r="AK154" s="1083"/>
    </row>
    <row r="155" spans="1:37" x14ac:dyDescent="0.35">
      <c r="A155" s="484"/>
      <c r="B155" s="484"/>
      <c r="C155" s="484"/>
      <c r="D155" s="484"/>
      <c r="E155" s="484"/>
      <c r="F155" s="1277"/>
      <c r="G155" s="484"/>
      <c r="H155" s="484"/>
      <c r="I155" s="484"/>
      <c r="J155" s="484"/>
      <c r="K155" s="484"/>
      <c r="L155" s="484"/>
      <c r="M155" s="484"/>
      <c r="N155" s="484"/>
      <c r="O155" s="484"/>
      <c r="P155" s="484"/>
      <c r="Q155" s="484"/>
      <c r="R155" s="484"/>
      <c r="S155" s="484"/>
      <c r="T155" s="1083"/>
      <c r="U155" s="1311"/>
      <c r="V155" s="1083"/>
      <c r="W155" s="1083"/>
      <c r="X155" s="1083"/>
      <c r="Y155" s="1083"/>
      <c r="Z155" s="1083"/>
      <c r="AA155" s="1083"/>
      <c r="AB155" s="1083"/>
      <c r="AC155" s="1083"/>
      <c r="AD155" s="1083"/>
      <c r="AE155" s="1083"/>
      <c r="AF155" s="1083"/>
      <c r="AG155" s="1083"/>
      <c r="AH155" s="1083"/>
      <c r="AI155" s="1083"/>
      <c r="AJ155" s="1083"/>
      <c r="AK155" s="1083"/>
    </row>
    <row r="156" spans="1:37" x14ac:dyDescent="0.35">
      <c r="A156" s="484"/>
      <c r="B156" s="484"/>
      <c r="C156" s="484"/>
      <c r="D156" s="484"/>
      <c r="E156" s="484"/>
      <c r="F156" s="1277"/>
      <c r="G156" s="484"/>
      <c r="H156" s="484"/>
      <c r="I156" s="484"/>
      <c r="J156" s="484"/>
      <c r="K156" s="484"/>
      <c r="L156" s="484"/>
      <c r="M156" s="484"/>
      <c r="N156" s="484"/>
      <c r="O156" s="484"/>
      <c r="P156" s="484"/>
      <c r="Q156" s="484"/>
      <c r="R156" s="484"/>
      <c r="S156" s="484"/>
      <c r="T156" s="1083"/>
      <c r="U156" s="1311"/>
      <c r="V156" s="1083"/>
      <c r="W156" s="1083"/>
      <c r="X156" s="1083"/>
      <c r="Y156" s="1083"/>
      <c r="Z156" s="1083"/>
      <c r="AA156" s="1083"/>
      <c r="AB156" s="1083"/>
      <c r="AC156" s="1083"/>
      <c r="AD156" s="1083"/>
      <c r="AE156" s="1083"/>
      <c r="AF156" s="1083"/>
      <c r="AG156" s="1083"/>
      <c r="AH156" s="1083"/>
      <c r="AI156" s="1083"/>
      <c r="AJ156" s="1083"/>
      <c r="AK156" s="1083"/>
    </row>
    <row r="157" spans="1:37" x14ac:dyDescent="0.35">
      <c r="A157" s="484"/>
      <c r="B157" s="484"/>
      <c r="C157" s="484"/>
      <c r="D157" s="484"/>
      <c r="E157" s="484"/>
      <c r="F157" s="1277"/>
      <c r="G157" s="484"/>
      <c r="H157" s="484"/>
      <c r="I157" s="484"/>
      <c r="J157" s="484"/>
      <c r="K157" s="484"/>
      <c r="L157" s="484"/>
      <c r="M157" s="484"/>
      <c r="N157" s="484"/>
      <c r="O157" s="484"/>
      <c r="P157" s="484"/>
      <c r="Q157" s="484"/>
      <c r="R157" s="484"/>
      <c r="S157" s="484"/>
      <c r="T157" s="1083"/>
      <c r="U157" s="1311"/>
      <c r="V157" s="1083"/>
      <c r="W157" s="1083"/>
      <c r="X157" s="1083"/>
      <c r="Y157" s="1083"/>
      <c r="Z157" s="1083"/>
      <c r="AA157" s="1083"/>
      <c r="AB157" s="1083"/>
      <c r="AC157" s="1083"/>
      <c r="AD157" s="1083"/>
      <c r="AE157" s="1083"/>
      <c r="AF157" s="1083"/>
      <c r="AG157" s="1083"/>
      <c r="AH157" s="1083"/>
      <c r="AI157" s="1083"/>
      <c r="AJ157" s="1083"/>
      <c r="AK157" s="1083"/>
    </row>
    <row r="158" spans="1:37" x14ac:dyDescent="0.35">
      <c r="A158" s="484"/>
      <c r="B158" s="484"/>
      <c r="C158" s="484"/>
      <c r="D158" s="484"/>
      <c r="E158" s="484"/>
      <c r="F158" s="1277"/>
      <c r="G158" s="484"/>
      <c r="H158" s="484"/>
      <c r="I158" s="484"/>
      <c r="J158" s="484"/>
      <c r="K158" s="484"/>
      <c r="L158" s="484"/>
      <c r="M158" s="484"/>
      <c r="N158" s="484"/>
      <c r="O158" s="484"/>
      <c r="P158" s="484"/>
      <c r="Q158" s="484"/>
      <c r="R158" s="484"/>
      <c r="S158" s="484"/>
      <c r="T158" s="1083"/>
      <c r="U158" s="1311"/>
      <c r="V158" s="1083"/>
      <c r="W158" s="1083"/>
      <c r="X158" s="1083"/>
      <c r="Y158" s="1083"/>
      <c r="Z158" s="1083"/>
      <c r="AA158" s="1083"/>
      <c r="AB158" s="1083"/>
      <c r="AC158" s="1083"/>
      <c r="AD158" s="1083"/>
      <c r="AE158" s="1083"/>
      <c r="AF158" s="1083"/>
      <c r="AG158" s="1083"/>
      <c r="AH158" s="1083"/>
      <c r="AI158" s="1083"/>
      <c r="AJ158" s="1083"/>
      <c r="AK158" s="1083"/>
    </row>
    <row r="159" spans="1:37" x14ac:dyDescent="0.35">
      <c r="A159" s="484"/>
      <c r="B159" s="484"/>
      <c r="C159" s="484"/>
      <c r="D159" s="484"/>
      <c r="E159" s="484"/>
      <c r="F159" s="1277"/>
      <c r="G159" s="484"/>
      <c r="H159" s="484"/>
      <c r="I159" s="484"/>
      <c r="J159" s="484"/>
      <c r="K159" s="484"/>
      <c r="L159" s="484"/>
      <c r="M159" s="484"/>
      <c r="N159" s="484"/>
      <c r="O159" s="484"/>
      <c r="P159" s="484"/>
      <c r="Q159" s="484"/>
      <c r="R159" s="484"/>
      <c r="S159" s="484"/>
      <c r="T159" s="1083"/>
      <c r="U159" s="1311"/>
      <c r="V159" s="1083"/>
      <c r="W159" s="1083"/>
      <c r="X159" s="1083"/>
      <c r="Y159" s="1083"/>
      <c r="Z159" s="1083"/>
      <c r="AA159" s="1083"/>
      <c r="AB159" s="1083"/>
      <c r="AC159" s="1083"/>
      <c r="AD159" s="1083"/>
      <c r="AE159" s="1083"/>
      <c r="AF159" s="1083"/>
      <c r="AG159" s="1083"/>
      <c r="AH159" s="1083"/>
      <c r="AI159" s="1083"/>
      <c r="AJ159" s="1083"/>
      <c r="AK159" s="1083"/>
    </row>
    <row r="160" spans="1:37" x14ac:dyDescent="0.35">
      <c r="A160" s="484"/>
      <c r="B160" s="484"/>
      <c r="C160" s="484"/>
      <c r="D160" s="484"/>
      <c r="E160" s="484"/>
      <c r="F160" s="1277"/>
      <c r="G160" s="484"/>
      <c r="H160" s="484"/>
      <c r="I160" s="484"/>
      <c r="J160" s="484"/>
      <c r="K160" s="484"/>
      <c r="L160" s="484"/>
      <c r="M160" s="484"/>
      <c r="N160" s="484"/>
      <c r="O160" s="484"/>
      <c r="P160" s="484"/>
      <c r="Q160" s="484"/>
      <c r="R160" s="484"/>
      <c r="S160" s="484"/>
      <c r="T160" s="1083"/>
      <c r="U160" s="1311"/>
      <c r="V160" s="1083"/>
      <c r="W160" s="1083"/>
      <c r="X160" s="1083"/>
      <c r="Y160" s="1083"/>
      <c r="Z160" s="1083"/>
      <c r="AA160" s="1083"/>
      <c r="AB160" s="1083"/>
      <c r="AC160" s="1083"/>
      <c r="AD160" s="1083"/>
      <c r="AE160" s="1083"/>
      <c r="AF160" s="1083"/>
      <c r="AG160" s="1083"/>
      <c r="AH160" s="1083"/>
      <c r="AI160" s="1083"/>
      <c r="AJ160" s="1083"/>
      <c r="AK160" s="1083"/>
    </row>
    <row r="161" spans="1:37" x14ac:dyDescent="0.35">
      <c r="A161" s="484"/>
      <c r="B161" s="484"/>
      <c r="C161" s="484"/>
      <c r="D161" s="484"/>
      <c r="E161" s="484"/>
      <c r="F161" s="1277"/>
      <c r="G161" s="484"/>
      <c r="H161" s="484"/>
      <c r="I161" s="484"/>
      <c r="J161" s="484"/>
      <c r="K161" s="484"/>
      <c r="L161" s="484"/>
      <c r="M161" s="484"/>
      <c r="N161" s="484"/>
      <c r="O161" s="484"/>
      <c r="P161" s="484"/>
      <c r="Q161" s="484"/>
      <c r="R161" s="484"/>
      <c r="S161" s="484"/>
      <c r="T161" s="1083"/>
      <c r="U161" s="1311"/>
      <c r="V161" s="1083"/>
      <c r="W161" s="1083"/>
      <c r="X161" s="1083"/>
      <c r="Y161" s="1083"/>
      <c r="Z161" s="1083"/>
      <c r="AA161" s="1083"/>
      <c r="AB161" s="1083"/>
      <c r="AC161" s="1083"/>
      <c r="AD161" s="1083"/>
      <c r="AE161" s="1083"/>
      <c r="AF161" s="1083"/>
      <c r="AG161" s="1083"/>
      <c r="AH161" s="1083"/>
      <c r="AI161" s="1083"/>
      <c r="AJ161" s="1083"/>
      <c r="AK161" s="1083"/>
    </row>
    <row r="162" spans="1:37" x14ac:dyDescent="0.35">
      <c r="A162" s="484"/>
      <c r="B162" s="484"/>
      <c r="C162" s="484"/>
      <c r="D162" s="484"/>
      <c r="E162" s="484"/>
      <c r="F162" s="1277"/>
      <c r="G162" s="484"/>
      <c r="H162" s="484"/>
      <c r="I162" s="484"/>
      <c r="J162" s="484"/>
      <c r="K162" s="484"/>
      <c r="L162" s="484"/>
      <c r="M162" s="484"/>
      <c r="N162" s="484"/>
      <c r="O162" s="484"/>
      <c r="P162" s="484"/>
      <c r="Q162" s="484"/>
      <c r="R162" s="484"/>
      <c r="S162" s="484"/>
      <c r="T162" s="1083"/>
      <c r="U162" s="1311"/>
      <c r="V162" s="1083"/>
      <c r="W162" s="1083"/>
      <c r="X162" s="1083"/>
      <c r="Y162" s="1083"/>
      <c r="Z162" s="1083"/>
      <c r="AA162" s="1083"/>
      <c r="AB162" s="1083"/>
      <c r="AC162" s="1083"/>
      <c r="AD162" s="1083"/>
      <c r="AE162" s="1083"/>
      <c r="AF162" s="1083"/>
      <c r="AG162" s="1083"/>
      <c r="AH162" s="1083"/>
      <c r="AI162" s="1083"/>
      <c r="AJ162" s="1083"/>
      <c r="AK162" s="1083"/>
    </row>
    <row r="163" spans="1:37" x14ac:dyDescent="0.35">
      <c r="A163" s="484"/>
      <c r="B163" s="484"/>
      <c r="C163" s="484"/>
      <c r="D163" s="484"/>
      <c r="E163" s="484"/>
      <c r="F163" s="1277"/>
      <c r="G163" s="484"/>
      <c r="H163" s="484"/>
      <c r="I163" s="484"/>
      <c r="J163" s="484"/>
      <c r="K163" s="484"/>
      <c r="L163" s="484"/>
      <c r="M163" s="484"/>
      <c r="N163" s="484"/>
      <c r="O163" s="484"/>
      <c r="P163" s="484"/>
      <c r="Q163" s="484"/>
      <c r="R163" s="484"/>
      <c r="S163" s="484"/>
      <c r="T163" s="1083"/>
      <c r="U163" s="1311"/>
      <c r="V163" s="1083"/>
      <c r="W163" s="1083"/>
      <c r="X163" s="1083"/>
      <c r="Y163" s="1083"/>
      <c r="Z163" s="1083"/>
      <c r="AA163" s="1083"/>
      <c r="AB163" s="1083"/>
      <c r="AC163" s="1083"/>
      <c r="AD163" s="1083"/>
      <c r="AE163" s="1083"/>
      <c r="AF163" s="1083"/>
      <c r="AG163" s="1083"/>
      <c r="AH163" s="1083"/>
      <c r="AI163" s="1083"/>
      <c r="AJ163" s="1083"/>
      <c r="AK163" s="1083"/>
    </row>
    <row r="164" spans="1:37" x14ac:dyDescent="0.35">
      <c r="A164" s="484"/>
      <c r="B164" s="484"/>
      <c r="C164" s="484"/>
      <c r="D164" s="484"/>
      <c r="E164" s="484"/>
      <c r="F164" s="1277"/>
      <c r="G164" s="484"/>
      <c r="H164" s="484"/>
      <c r="I164" s="484"/>
      <c r="J164" s="484"/>
      <c r="K164" s="484"/>
      <c r="L164" s="484"/>
      <c r="M164" s="484"/>
      <c r="N164" s="484"/>
      <c r="O164" s="484"/>
      <c r="P164" s="484"/>
      <c r="Q164" s="484"/>
      <c r="R164" s="484"/>
      <c r="S164" s="484"/>
      <c r="T164" s="1083"/>
      <c r="U164" s="1311"/>
      <c r="V164" s="1083"/>
      <c r="W164" s="1083"/>
      <c r="X164" s="1083"/>
      <c r="Y164" s="1083"/>
      <c r="Z164" s="1083"/>
      <c r="AA164" s="1083"/>
      <c r="AB164" s="1083"/>
      <c r="AC164" s="1083"/>
      <c r="AD164" s="1083"/>
      <c r="AE164" s="1083"/>
      <c r="AF164" s="1083"/>
      <c r="AG164" s="1083"/>
      <c r="AH164" s="1083"/>
      <c r="AI164" s="1083"/>
      <c r="AJ164" s="1083"/>
      <c r="AK164" s="1083"/>
    </row>
    <row r="165" spans="1:37" x14ac:dyDescent="0.35">
      <c r="A165" s="484"/>
      <c r="B165" s="484"/>
      <c r="C165" s="484"/>
      <c r="D165" s="484"/>
      <c r="E165" s="484"/>
      <c r="F165" s="1277"/>
      <c r="G165" s="484"/>
      <c r="H165" s="484"/>
      <c r="I165" s="484"/>
      <c r="J165" s="484"/>
      <c r="K165" s="484"/>
      <c r="L165" s="484"/>
      <c r="M165" s="484"/>
      <c r="N165" s="484"/>
      <c r="O165" s="484"/>
      <c r="P165" s="484"/>
      <c r="Q165" s="484"/>
      <c r="R165" s="484"/>
      <c r="S165" s="484"/>
      <c r="T165" s="1083"/>
      <c r="U165" s="1311"/>
      <c r="V165" s="1083"/>
      <c r="W165" s="1083"/>
      <c r="X165" s="1083"/>
      <c r="Y165" s="1083"/>
      <c r="Z165" s="1083"/>
      <c r="AA165" s="1083"/>
      <c r="AB165" s="1083"/>
      <c r="AC165" s="1083"/>
      <c r="AD165" s="1083"/>
      <c r="AE165" s="1083"/>
      <c r="AF165" s="1083"/>
      <c r="AG165" s="1083"/>
      <c r="AH165" s="1083"/>
      <c r="AI165" s="1083"/>
      <c r="AJ165" s="1083"/>
      <c r="AK165" s="1083"/>
    </row>
    <row r="166" spans="1:37" x14ac:dyDescent="0.35">
      <c r="A166" s="484"/>
      <c r="B166" s="484"/>
      <c r="C166" s="484"/>
      <c r="D166" s="484"/>
      <c r="E166" s="484"/>
      <c r="F166" s="1277"/>
      <c r="G166" s="484"/>
      <c r="H166" s="484"/>
      <c r="I166" s="484"/>
      <c r="J166" s="484"/>
      <c r="K166" s="484"/>
      <c r="L166" s="484"/>
      <c r="M166" s="484"/>
      <c r="N166" s="484"/>
      <c r="O166" s="484"/>
      <c r="P166" s="484"/>
      <c r="Q166" s="484"/>
      <c r="R166" s="484"/>
      <c r="S166" s="484"/>
      <c r="T166" s="1083"/>
      <c r="U166" s="1311"/>
      <c r="V166" s="1083"/>
      <c r="W166" s="1083"/>
      <c r="X166" s="1083"/>
      <c r="Y166" s="1083"/>
      <c r="Z166" s="1083"/>
      <c r="AA166" s="1083"/>
      <c r="AB166" s="1083"/>
      <c r="AC166" s="1083"/>
      <c r="AD166" s="1083"/>
      <c r="AE166" s="1083"/>
      <c r="AF166" s="1083"/>
      <c r="AG166" s="1083"/>
      <c r="AH166" s="1083"/>
      <c r="AI166" s="1083"/>
      <c r="AJ166" s="1083"/>
      <c r="AK166" s="1083"/>
    </row>
    <row r="167" spans="1:37" x14ac:dyDescent="0.35">
      <c r="A167" s="484"/>
      <c r="B167" s="484"/>
      <c r="C167" s="484"/>
      <c r="D167" s="484"/>
      <c r="E167" s="484"/>
      <c r="F167" s="1277"/>
      <c r="G167" s="484"/>
      <c r="H167" s="484"/>
      <c r="I167" s="484"/>
      <c r="J167" s="484"/>
      <c r="K167" s="484"/>
      <c r="L167" s="484"/>
      <c r="M167" s="484"/>
      <c r="N167" s="484"/>
      <c r="O167" s="484"/>
      <c r="P167" s="484"/>
      <c r="Q167" s="484"/>
      <c r="R167" s="484"/>
      <c r="S167" s="484"/>
      <c r="T167" s="1083"/>
      <c r="U167" s="1311"/>
      <c r="V167" s="1083"/>
      <c r="W167" s="1083"/>
      <c r="X167" s="1083"/>
      <c r="Y167" s="1083"/>
      <c r="Z167" s="1083"/>
      <c r="AA167" s="1083"/>
      <c r="AB167" s="1083"/>
      <c r="AC167" s="1083"/>
      <c r="AD167" s="1083"/>
      <c r="AE167" s="1083"/>
      <c r="AF167" s="1083"/>
      <c r="AG167" s="1083"/>
      <c r="AH167" s="1083"/>
      <c r="AI167" s="1083"/>
      <c r="AJ167" s="1083"/>
      <c r="AK167" s="1083"/>
    </row>
    <row r="168" spans="1:37" x14ac:dyDescent="0.35">
      <c r="A168" s="484"/>
      <c r="B168" s="484"/>
      <c r="C168" s="484"/>
      <c r="D168" s="484"/>
      <c r="E168" s="484"/>
      <c r="F168" s="1277"/>
      <c r="G168" s="484"/>
      <c r="H168" s="484"/>
      <c r="I168" s="484"/>
      <c r="J168" s="484"/>
      <c r="K168" s="484"/>
      <c r="L168" s="484"/>
      <c r="M168" s="484"/>
      <c r="N168" s="484"/>
      <c r="O168" s="484"/>
      <c r="P168" s="484"/>
      <c r="Q168" s="484"/>
      <c r="R168" s="484"/>
      <c r="S168" s="484"/>
      <c r="T168" s="1083"/>
      <c r="U168" s="1311"/>
      <c r="V168" s="1083"/>
      <c r="W168" s="1083"/>
      <c r="X168" s="1083"/>
      <c r="Y168" s="1083"/>
      <c r="Z168" s="1083"/>
      <c r="AA168" s="1083"/>
      <c r="AB168" s="1083"/>
      <c r="AC168" s="1083"/>
      <c r="AD168" s="1083"/>
      <c r="AE168" s="1083"/>
      <c r="AF168" s="1083"/>
      <c r="AG168" s="1083"/>
      <c r="AH168" s="1083"/>
      <c r="AI168" s="1083"/>
      <c r="AJ168" s="1083"/>
      <c r="AK168" s="1083"/>
    </row>
    <row r="169" spans="1:37" x14ac:dyDescent="0.35">
      <c r="A169" s="484"/>
      <c r="B169" s="484"/>
      <c r="C169" s="484"/>
      <c r="D169" s="484"/>
      <c r="E169" s="484"/>
      <c r="F169" s="1277"/>
      <c r="G169" s="484"/>
      <c r="H169" s="484"/>
      <c r="I169" s="484"/>
      <c r="J169" s="484"/>
      <c r="K169" s="484"/>
      <c r="L169" s="484"/>
      <c r="M169" s="484"/>
      <c r="N169" s="484"/>
      <c r="O169" s="484"/>
      <c r="P169" s="484"/>
      <c r="Q169" s="484"/>
      <c r="R169" s="484"/>
      <c r="S169" s="484"/>
      <c r="T169" s="1083"/>
      <c r="U169" s="1311"/>
      <c r="V169" s="1083"/>
      <c r="W169" s="1083"/>
      <c r="X169" s="1083"/>
      <c r="Y169" s="1083"/>
      <c r="Z169" s="1083"/>
      <c r="AA169" s="1083"/>
      <c r="AB169" s="1083"/>
      <c r="AC169" s="1083"/>
      <c r="AD169" s="1083"/>
      <c r="AE169" s="1083"/>
      <c r="AF169" s="1083"/>
      <c r="AG169" s="1083"/>
      <c r="AH169" s="1083"/>
      <c r="AI169" s="1083"/>
      <c r="AJ169" s="1083"/>
      <c r="AK169" s="1083"/>
    </row>
    <row r="170" spans="1:37" x14ac:dyDescent="0.35">
      <c r="A170" s="484"/>
      <c r="B170" s="484"/>
      <c r="C170" s="484"/>
      <c r="D170" s="484"/>
      <c r="E170" s="484"/>
      <c r="F170" s="1277"/>
      <c r="G170" s="484"/>
      <c r="H170" s="484"/>
      <c r="I170" s="484"/>
      <c r="J170" s="484"/>
      <c r="K170" s="484"/>
      <c r="L170" s="484"/>
      <c r="M170" s="484"/>
      <c r="N170" s="484"/>
      <c r="O170" s="484"/>
      <c r="P170" s="484"/>
      <c r="Q170" s="484"/>
      <c r="R170" s="484"/>
      <c r="S170" s="484"/>
      <c r="T170" s="1083"/>
      <c r="U170" s="1311"/>
      <c r="V170" s="1083"/>
      <c r="W170" s="1083"/>
      <c r="X170" s="1083"/>
      <c r="Y170" s="1083"/>
      <c r="Z170" s="1083"/>
      <c r="AA170" s="1083"/>
      <c r="AB170" s="1083"/>
      <c r="AC170" s="1083"/>
      <c r="AD170" s="1083"/>
      <c r="AE170" s="1083"/>
      <c r="AF170" s="1083"/>
      <c r="AG170" s="1083"/>
      <c r="AH170" s="1083"/>
      <c r="AI170" s="1083"/>
      <c r="AJ170" s="1083"/>
      <c r="AK170" s="1083"/>
    </row>
    <row r="171" spans="1:37" x14ac:dyDescent="0.35">
      <c r="A171" s="484"/>
      <c r="B171" s="484"/>
      <c r="C171" s="484"/>
      <c r="D171" s="484"/>
      <c r="E171" s="484"/>
      <c r="F171" s="1277"/>
      <c r="G171" s="484"/>
      <c r="H171" s="484"/>
      <c r="I171" s="484"/>
      <c r="J171" s="484"/>
      <c r="K171" s="484"/>
      <c r="L171" s="484"/>
      <c r="M171" s="484"/>
      <c r="N171" s="484"/>
      <c r="O171" s="484"/>
      <c r="P171" s="484"/>
      <c r="Q171" s="484"/>
      <c r="R171" s="484"/>
      <c r="S171" s="484"/>
      <c r="T171" s="1083"/>
      <c r="U171" s="1311"/>
      <c r="V171" s="1083"/>
      <c r="W171" s="1083"/>
      <c r="X171" s="1083"/>
      <c r="Y171" s="1083"/>
      <c r="Z171" s="1083"/>
      <c r="AA171" s="1083"/>
      <c r="AB171" s="1083"/>
      <c r="AC171" s="1083"/>
      <c r="AD171" s="1083"/>
      <c r="AE171" s="1083"/>
      <c r="AF171" s="1083"/>
      <c r="AG171" s="1083"/>
      <c r="AH171" s="1083"/>
      <c r="AI171" s="1083"/>
      <c r="AJ171" s="1083"/>
      <c r="AK171" s="1083"/>
    </row>
    <row r="172" spans="1:37" x14ac:dyDescent="0.35">
      <c r="A172" s="484"/>
      <c r="B172" s="484"/>
      <c r="C172" s="484"/>
      <c r="D172" s="484"/>
      <c r="E172" s="484"/>
      <c r="F172" s="1277"/>
      <c r="G172" s="484"/>
      <c r="H172" s="484"/>
      <c r="I172" s="484"/>
      <c r="J172" s="484"/>
      <c r="K172" s="484"/>
      <c r="L172" s="484"/>
      <c r="M172" s="484"/>
      <c r="N172" s="484"/>
      <c r="O172" s="484"/>
      <c r="P172" s="484"/>
      <c r="Q172" s="484"/>
      <c r="R172" s="484"/>
      <c r="S172" s="484"/>
      <c r="T172" s="1083"/>
      <c r="U172" s="1311"/>
      <c r="V172" s="1083"/>
      <c r="W172" s="1083"/>
      <c r="X172" s="1083"/>
      <c r="Y172" s="1083"/>
      <c r="Z172" s="1083"/>
      <c r="AA172" s="1083"/>
      <c r="AB172" s="1083"/>
      <c r="AC172" s="1083"/>
      <c r="AD172" s="1083"/>
      <c r="AE172" s="1083"/>
      <c r="AF172" s="1083"/>
      <c r="AG172" s="1083"/>
      <c r="AH172" s="1083"/>
      <c r="AI172" s="1083"/>
      <c r="AJ172" s="1083"/>
      <c r="AK172" s="1083"/>
    </row>
    <row r="173" spans="1:37" x14ac:dyDescent="0.35">
      <c r="A173" s="484"/>
      <c r="B173" s="484"/>
      <c r="C173" s="484"/>
      <c r="D173" s="484"/>
      <c r="E173" s="484"/>
      <c r="F173" s="1277"/>
      <c r="G173" s="484"/>
      <c r="H173" s="484"/>
      <c r="I173" s="484"/>
      <c r="J173" s="484"/>
      <c r="K173" s="484"/>
      <c r="L173" s="484"/>
      <c r="M173" s="484"/>
      <c r="N173" s="484"/>
      <c r="O173" s="484"/>
      <c r="P173" s="484"/>
      <c r="Q173" s="484"/>
      <c r="R173" s="484"/>
      <c r="S173" s="484"/>
      <c r="T173" s="1083"/>
      <c r="U173" s="1311"/>
      <c r="V173" s="1083"/>
      <c r="W173" s="1083"/>
      <c r="X173" s="1083"/>
      <c r="Y173" s="1083"/>
      <c r="Z173" s="1083"/>
      <c r="AA173" s="1083"/>
      <c r="AB173" s="1083"/>
      <c r="AC173" s="1083"/>
      <c r="AD173" s="1083"/>
      <c r="AE173" s="1083"/>
      <c r="AF173" s="1083"/>
      <c r="AG173" s="1083"/>
      <c r="AH173" s="1083"/>
      <c r="AI173" s="1083"/>
      <c r="AJ173" s="1083"/>
      <c r="AK173" s="1083"/>
    </row>
    <row r="174" spans="1:37" x14ac:dyDescent="0.35">
      <c r="A174" s="484"/>
      <c r="B174" s="484"/>
      <c r="C174" s="484"/>
      <c r="D174" s="484"/>
      <c r="E174" s="484"/>
      <c r="F174" s="1277"/>
      <c r="G174" s="484"/>
      <c r="H174" s="484"/>
      <c r="I174" s="484"/>
      <c r="J174" s="484"/>
      <c r="K174" s="484"/>
      <c r="L174" s="484"/>
      <c r="M174" s="484"/>
      <c r="N174" s="484"/>
      <c r="O174" s="484"/>
      <c r="P174" s="484"/>
      <c r="Q174" s="484"/>
      <c r="R174" s="484"/>
      <c r="S174" s="484"/>
      <c r="T174" s="1083"/>
      <c r="U174" s="1311"/>
      <c r="V174" s="1083"/>
      <c r="W174" s="1083"/>
      <c r="X174" s="1083"/>
      <c r="Y174" s="1083"/>
      <c r="Z174" s="1083"/>
      <c r="AA174" s="1083"/>
      <c r="AB174" s="1083"/>
      <c r="AC174" s="1083"/>
      <c r="AD174" s="1083"/>
      <c r="AE174" s="1083"/>
      <c r="AF174" s="1083"/>
      <c r="AG174" s="1083"/>
      <c r="AH174" s="1083"/>
      <c r="AI174" s="1083"/>
      <c r="AJ174" s="1083"/>
      <c r="AK174" s="1083"/>
    </row>
    <row r="175" spans="1:37" x14ac:dyDescent="0.35">
      <c r="A175" s="484"/>
      <c r="B175" s="484"/>
      <c r="C175" s="484"/>
      <c r="D175" s="484"/>
      <c r="E175" s="484"/>
      <c r="F175" s="1277"/>
      <c r="G175" s="484"/>
      <c r="H175" s="484"/>
      <c r="I175" s="484"/>
      <c r="J175" s="484"/>
      <c r="K175" s="484"/>
      <c r="L175" s="484"/>
      <c r="M175" s="484"/>
      <c r="N175" s="484"/>
      <c r="O175" s="484"/>
      <c r="P175" s="484"/>
      <c r="Q175" s="484"/>
      <c r="R175" s="484"/>
      <c r="S175" s="484"/>
      <c r="T175" s="1083"/>
      <c r="U175" s="1311"/>
      <c r="V175" s="1083"/>
      <c r="W175" s="1083"/>
      <c r="X175" s="1083"/>
      <c r="Y175" s="1083"/>
      <c r="Z175" s="1083"/>
      <c r="AA175" s="1083"/>
      <c r="AB175" s="1083"/>
      <c r="AC175" s="1083"/>
      <c r="AD175" s="1083"/>
      <c r="AE175" s="1083"/>
      <c r="AF175" s="1083"/>
      <c r="AG175" s="1083"/>
      <c r="AH175" s="1083"/>
      <c r="AI175" s="1083"/>
      <c r="AJ175" s="1083"/>
      <c r="AK175" s="1083"/>
    </row>
    <row r="176" spans="1:37" x14ac:dyDescent="0.35">
      <c r="A176" s="484"/>
      <c r="B176" s="484"/>
      <c r="C176" s="484"/>
      <c r="D176" s="484"/>
      <c r="E176" s="484"/>
      <c r="F176" s="1277"/>
      <c r="G176" s="484"/>
      <c r="H176" s="484"/>
      <c r="I176" s="484"/>
      <c r="J176" s="484"/>
      <c r="K176" s="484"/>
      <c r="L176" s="484"/>
      <c r="M176" s="484"/>
      <c r="N176" s="484"/>
      <c r="O176" s="484"/>
      <c r="P176" s="484"/>
      <c r="Q176" s="484"/>
      <c r="R176" s="484"/>
      <c r="S176" s="484"/>
      <c r="T176" s="1083"/>
      <c r="U176" s="1311"/>
      <c r="V176" s="1083"/>
      <c r="W176" s="1083"/>
      <c r="X176" s="1083"/>
      <c r="Y176" s="1083"/>
      <c r="Z176" s="1083"/>
      <c r="AA176" s="1083"/>
      <c r="AB176" s="1083"/>
      <c r="AC176" s="1083"/>
      <c r="AD176" s="1083"/>
      <c r="AE176" s="1083"/>
      <c r="AF176" s="1083"/>
      <c r="AG176" s="1083"/>
      <c r="AH176" s="1083"/>
      <c r="AI176" s="1083"/>
      <c r="AJ176" s="1083"/>
      <c r="AK176" s="1083"/>
    </row>
    <row r="177" spans="1:37" x14ac:dyDescent="0.35">
      <c r="A177" s="484"/>
      <c r="B177" s="484"/>
      <c r="C177" s="484"/>
      <c r="D177" s="484"/>
      <c r="E177" s="484"/>
      <c r="F177" s="1277"/>
      <c r="G177" s="484"/>
      <c r="H177" s="484"/>
      <c r="I177" s="484"/>
      <c r="J177" s="484"/>
      <c r="K177" s="484"/>
      <c r="L177" s="484"/>
      <c r="M177" s="484"/>
      <c r="N177" s="484"/>
      <c r="O177" s="484"/>
      <c r="P177" s="484"/>
      <c r="Q177" s="484"/>
      <c r="R177" s="484"/>
      <c r="S177" s="484"/>
      <c r="T177" s="1083"/>
      <c r="U177" s="1311"/>
      <c r="V177" s="1083"/>
      <c r="W177" s="1083"/>
      <c r="X177" s="1083"/>
      <c r="Y177" s="1083"/>
      <c r="Z177" s="1083"/>
      <c r="AA177" s="1083"/>
      <c r="AB177" s="1083"/>
      <c r="AC177" s="1083"/>
      <c r="AD177" s="1083"/>
      <c r="AE177" s="1083"/>
      <c r="AF177" s="1083"/>
      <c r="AG177" s="1083"/>
      <c r="AH177" s="1083"/>
      <c r="AI177" s="1083"/>
      <c r="AJ177" s="1083"/>
      <c r="AK177" s="1083"/>
    </row>
    <row r="178" spans="1:37" x14ac:dyDescent="0.35">
      <c r="A178" s="484"/>
      <c r="B178" s="484"/>
      <c r="C178" s="484"/>
      <c r="D178" s="484"/>
      <c r="E178" s="484"/>
      <c r="F178" s="1277"/>
      <c r="G178" s="484"/>
      <c r="H178" s="484"/>
      <c r="I178" s="484"/>
      <c r="J178" s="484"/>
      <c r="K178" s="484"/>
      <c r="L178" s="484"/>
      <c r="M178" s="484"/>
      <c r="N178" s="484"/>
      <c r="O178" s="484"/>
      <c r="P178" s="484"/>
      <c r="Q178" s="484"/>
      <c r="R178" s="484"/>
      <c r="S178" s="484"/>
      <c r="T178" s="1083"/>
      <c r="U178" s="1311"/>
      <c r="V178" s="1083"/>
      <c r="W178" s="1083"/>
      <c r="X178" s="1083"/>
      <c r="Y178" s="1083"/>
      <c r="Z178" s="1083"/>
      <c r="AA178" s="1083"/>
      <c r="AB178" s="1083"/>
      <c r="AC178" s="1083"/>
      <c r="AD178" s="1083"/>
      <c r="AE178" s="1083"/>
      <c r="AF178" s="1083"/>
      <c r="AG178" s="1083"/>
      <c r="AH178" s="1083"/>
      <c r="AI178" s="1083"/>
      <c r="AJ178" s="1083"/>
      <c r="AK178" s="1083"/>
    </row>
    <row r="179" spans="1:37" x14ac:dyDescent="0.35">
      <c r="A179" s="484"/>
      <c r="B179" s="484"/>
      <c r="C179" s="484"/>
      <c r="D179" s="484"/>
      <c r="E179" s="484"/>
      <c r="F179" s="1277"/>
      <c r="G179" s="484"/>
      <c r="H179" s="484"/>
      <c r="I179" s="484"/>
      <c r="J179" s="484"/>
      <c r="K179" s="484"/>
      <c r="L179" s="484"/>
      <c r="M179" s="484"/>
      <c r="N179" s="484"/>
      <c r="O179" s="484"/>
      <c r="P179" s="484"/>
      <c r="Q179" s="484"/>
      <c r="R179" s="484"/>
      <c r="S179" s="484"/>
      <c r="T179" s="1083"/>
      <c r="U179" s="1311"/>
      <c r="V179" s="1083"/>
      <c r="W179" s="1083"/>
      <c r="X179" s="1083"/>
      <c r="Y179" s="1083"/>
      <c r="Z179" s="1083"/>
      <c r="AA179" s="1083"/>
      <c r="AB179" s="1083"/>
      <c r="AC179" s="1083"/>
      <c r="AD179" s="1083"/>
      <c r="AE179" s="1083"/>
      <c r="AF179" s="1083"/>
      <c r="AG179" s="1083"/>
      <c r="AH179" s="1083"/>
      <c r="AI179" s="1083"/>
      <c r="AJ179" s="1083"/>
      <c r="AK179" s="1083"/>
    </row>
    <row r="180" spans="1:37" x14ac:dyDescent="0.35">
      <c r="A180" s="484"/>
      <c r="B180" s="484"/>
      <c r="C180" s="484"/>
      <c r="D180" s="484"/>
      <c r="E180" s="484"/>
      <c r="F180" s="1277"/>
      <c r="G180" s="484"/>
      <c r="H180" s="484"/>
      <c r="I180" s="484"/>
      <c r="J180" s="484"/>
      <c r="K180" s="484"/>
      <c r="L180" s="484"/>
      <c r="M180" s="484"/>
      <c r="N180" s="484"/>
      <c r="O180" s="484"/>
      <c r="P180" s="484"/>
      <c r="Q180" s="484"/>
      <c r="R180" s="484"/>
      <c r="S180" s="484"/>
      <c r="T180" s="1083"/>
      <c r="U180" s="1311"/>
      <c r="V180" s="1083"/>
      <c r="W180" s="1083"/>
      <c r="X180" s="1083"/>
      <c r="Y180" s="1083"/>
      <c r="Z180" s="1083"/>
      <c r="AA180" s="1083"/>
      <c r="AB180" s="1083"/>
      <c r="AC180" s="1083"/>
      <c r="AD180" s="1083"/>
      <c r="AE180" s="1083"/>
      <c r="AF180" s="1083"/>
      <c r="AG180" s="1083"/>
      <c r="AH180" s="1083"/>
      <c r="AI180" s="1083"/>
      <c r="AJ180" s="1083"/>
      <c r="AK180" s="1083"/>
    </row>
    <row r="181" spans="1:37" x14ac:dyDescent="0.35">
      <c r="A181" s="484"/>
      <c r="B181" s="484"/>
      <c r="C181" s="484"/>
      <c r="D181" s="484"/>
      <c r="E181" s="484"/>
      <c r="F181" s="1277"/>
      <c r="G181" s="484"/>
      <c r="H181" s="484"/>
      <c r="I181" s="484"/>
      <c r="J181" s="484"/>
      <c r="K181" s="484"/>
      <c r="L181" s="484"/>
      <c r="M181" s="484"/>
      <c r="N181" s="484"/>
      <c r="O181" s="484"/>
      <c r="P181" s="484"/>
      <c r="Q181" s="484"/>
      <c r="R181" s="484"/>
      <c r="S181" s="484"/>
      <c r="T181" s="1083"/>
      <c r="U181" s="1311"/>
      <c r="V181" s="1083"/>
      <c r="W181" s="1083"/>
      <c r="X181" s="1083"/>
      <c r="Y181" s="1083"/>
      <c r="Z181" s="1083"/>
      <c r="AA181" s="1083"/>
      <c r="AB181" s="1083"/>
      <c r="AC181" s="1083"/>
      <c r="AD181" s="1083"/>
      <c r="AE181" s="1083"/>
      <c r="AF181" s="1083"/>
      <c r="AG181" s="1083"/>
      <c r="AH181" s="1083"/>
      <c r="AI181" s="1083"/>
      <c r="AJ181" s="1083"/>
      <c r="AK181" s="1083"/>
    </row>
    <row r="182" spans="1:37" x14ac:dyDescent="0.35">
      <c r="A182" s="484"/>
      <c r="B182" s="484"/>
      <c r="C182" s="484"/>
      <c r="D182" s="484"/>
      <c r="E182" s="484"/>
      <c r="F182" s="1277"/>
      <c r="G182" s="484"/>
      <c r="H182" s="484"/>
      <c r="I182" s="484"/>
      <c r="J182" s="484"/>
      <c r="K182" s="484"/>
      <c r="L182" s="484"/>
      <c r="M182" s="484"/>
      <c r="N182" s="484"/>
      <c r="O182" s="484"/>
      <c r="P182" s="484"/>
      <c r="Q182" s="484"/>
      <c r="R182" s="484"/>
      <c r="S182" s="484"/>
      <c r="T182" s="1083"/>
      <c r="U182" s="1311"/>
      <c r="V182" s="1083"/>
      <c r="W182" s="1083"/>
      <c r="X182" s="1083"/>
      <c r="Y182" s="1083"/>
      <c r="Z182" s="1083"/>
      <c r="AA182" s="1083"/>
      <c r="AB182" s="1083"/>
      <c r="AC182" s="1083"/>
      <c r="AD182" s="1083"/>
      <c r="AE182" s="1083"/>
      <c r="AF182" s="1083"/>
      <c r="AG182" s="1083"/>
      <c r="AH182" s="1083"/>
      <c r="AI182" s="1083"/>
      <c r="AJ182" s="1083"/>
      <c r="AK182" s="1083"/>
    </row>
    <row r="183" spans="1:37" x14ac:dyDescent="0.35">
      <c r="A183" s="484"/>
      <c r="B183" s="484"/>
      <c r="C183" s="484"/>
      <c r="D183" s="484"/>
      <c r="E183" s="484"/>
      <c r="F183" s="1277"/>
      <c r="G183" s="484"/>
      <c r="H183" s="484"/>
      <c r="I183" s="484"/>
      <c r="J183" s="484"/>
      <c r="K183" s="484"/>
      <c r="L183" s="484"/>
      <c r="M183" s="484"/>
      <c r="N183" s="484"/>
      <c r="O183" s="484"/>
      <c r="P183" s="484"/>
      <c r="Q183" s="484"/>
      <c r="R183" s="484"/>
      <c r="S183" s="484"/>
      <c r="T183" s="1083"/>
      <c r="U183" s="1311"/>
      <c r="V183" s="1083"/>
      <c r="W183" s="1083"/>
      <c r="X183" s="1083"/>
      <c r="Y183" s="1083"/>
      <c r="Z183" s="1083"/>
      <c r="AA183" s="1083"/>
      <c r="AB183" s="1083"/>
      <c r="AC183" s="1083"/>
      <c r="AD183" s="1083"/>
      <c r="AE183" s="1083"/>
      <c r="AF183" s="1083"/>
      <c r="AG183" s="1083"/>
      <c r="AH183" s="1083"/>
      <c r="AI183" s="1083"/>
      <c r="AJ183" s="1083"/>
      <c r="AK183" s="1083"/>
    </row>
    <row r="184" spans="1:37" x14ac:dyDescent="0.35">
      <c r="A184" s="484"/>
      <c r="B184" s="484"/>
      <c r="C184" s="484"/>
      <c r="D184" s="484"/>
      <c r="E184" s="484"/>
      <c r="F184" s="1277"/>
      <c r="G184" s="484"/>
      <c r="H184" s="484"/>
      <c r="I184" s="484"/>
      <c r="J184" s="484"/>
      <c r="K184" s="484"/>
      <c r="L184" s="484"/>
      <c r="M184" s="484"/>
      <c r="N184" s="484"/>
      <c r="O184" s="484"/>
      <c r="P184" s="484"/>
      <c r="Q184" s="484"/>
      <c r="R184" s="484"/>
      <c r="S184" s="484"/>
      <c r="T184" s="1083"/>
      <c r="U184" s="1311"/>
      <c r="V184" s="1083"/>
      <c r="W184" s="1083"/>
      <c r="X184" s="1083"/>
      <c r="Y184" s="1083"/>
      <c r="Z184" s="1083"/>
      <c r="AA184" s="1083"/>
      <c r="AB184" s="1083"/>
      <c r="AC184" s="1083"/>
      <c r="AD184" s="1083"/>
      <c r="AE184" s="1083"/>
      <c r="AF184" s="1083"/>
      <c r="AG184" s="1083"/>
      <c r="AH184" s="1083"/>
      <c r="AI184" s="1083"/>
      <c r="AJ184" s="1083"/>
      <c r="AK184" s="1083"/>
    </row>
    <row r="185" spans="1:37" x14ac:dyDescent="0.35">
      <c r="A185" s="484"/>
      <c r="B185" s="484"/>
      <c r="C185" s="484"/>
      <c r="D185" s="484"/>
      <c r="E185" s="484"/>
      <c r="F185" s="1277"/>
      <c r="G185" s="484"/>
      <c r="H185" s="484"/>
      <c r="I185" s="484"/>
      <c r="J185" s="484"/>
      <c r="K185" s="484"/>
      <c r="L185" s="484"/>
      <c r="M185" s="484"/>
      <c r="N185" s="484"/>
      <c r="O185" s="484"/>
      <c r="P185" s="484"/>
      <c r="Q185" s="484"/>
      <c r="R185" s="484"/>
      <c r="S185" s="484"/>
      <c r="T185" s="1083"/>
      <c r="U185" s="1311"/>
      <c r="V185" s="1083"/>
      <c r="W185" s="1083"/>
      <c r="X185" s="1083"/>
      <c r="Y185" s="1083"/>
      <c r="Z185" s="1083"/>
      <c r="AA185" s="1083"/>
      <c r="AB185" s="1083"/>
      <c r="AC185" s="1083"/>
      <c r="AD185" s="1083"/>
      <c r="AE185" s="1083"/>
      <c r="AF185" s="1083"/>
      <c r="AG185" s="1083"/>
      <c r="AH185" s="1083"/>
      <c r="AI185" s="1083"/>
      <c r="AJ185" s="1083"/>
      <c r="AK185" s="1083"/>
    </row>
    <row r="186" spans="1:37" x14ac:dyDescent="0.35">
      <c r="A186" s="484"/>
      <c r="B186" s="484"/>
      <c r="C186" s="484"/>
      <c r="D186" s="484"/>
      <c r="E186" s="484"/>
      <c r="F186" s="1277"/>
      <c r="G186" s="484"/>
      <c r="H186" s="484"/>
      <c r="I186" s="484"/>
      <c r="J186" s="484"/>
      <c r="K186" s="484"/>
      <c r="L186" s="484"/>
      <c r="M186" s="484"/>
      <c r="N186" s="484"/>
      <c r="O186" s="484"/>
      <c r="P186" s="484"/>
      <c r="Q186" s="484"/>
      <c r="R186" s="484"/>
      <c r="S186" s="484"/>
      <c r="T186" s="1083"/>
      <c r="U186" s="1311"/>
      <c r="V186" s="1083"/>
      <c r="W186" s="1083"/>
      <c r="X186" s="1083"/>
      <c r="Y186" s="1083"/>
      <c r="Z186" s="1083"/>
      <c r="AA186" s="1083"/>
      <c r="AB186" s="1083"/>
      <c r="AC186" s="1083"/>
      <c r="AD186" s="1083"/>
      <c r="AE186" s="1083"/>
      <c r="AF186" s="1083"/>
      <c r="AG186" s="1083"/>
      <c r="AH186" s="1083"/>
      <c r="AI186" s="1083"/>
      <c r="AJ186" s="1083"/>
      <c r="AK186" s="1083"/>
    </row>
    <row r="187" spans="1:37" x14ac:dyDescent="0.35">
      <c r="A187" s="484"/>
      <c r="B187" s="484"/>
      <c r="C187" s="484"/>
      <c r="D187" s="484"/>
      <c r="E187" s="484"/>
      <c r="F187" s="1277"/>
      <c r="G187" s="484"/>
      <c r="H187" s="484"/>
      <c r="I187" s="484"/>
      <c r="J187" s="484"/>
      <c r="K187" s="484"/>
      <c r="L187" s="484"/>
      <c r="M187" s="484"/>
      <c r="N187" s="484"/>
      <c r="O187" s="484"/>
      <c r="P187" s="484"/>
      <c r="Q187" s="484"/>
      <c r="R187" s="484"/>
      <c r="S187" s="484"/>
      <c r="T187" s="1083"/>
      <c r="U187" s="1311"/>
      <c r="V187" s="1083"/>
      <c r="W187" s="1083"/>
      <c r="X187" s="1083"/>
      <c r="Y187" s="1083"/>
      <c r="Z187" s="1083"/>
      <c r="AA187" s="1083"/>
      <c r="AB187" s="1083"/>
      <c r="AC187" s="1083"/>
      <c r="AD187" s="1083"/>
      <c r="AE187" s="1083"/>
      <c r="AF187" s="1083"/>
      <c r="AG187" s="1083"/>
      <c r="AH187" s="1083"/>
      <c r="AI187" s="1083"/>
      <c r="AJ187" s="1083"/>
      <c r="AK187" s="1083"/>
    </row>
    <row r="188" spans="1:37" x14ac:dyDescent="0.35">
      <c r="A188" s="484"/>
      <c r="B188" s="484"/>
      <c r="C188" s="484"/>
      <c r="D188" s="484"/>
      <c r="E188" s="484"/>
      <c r="F188" s="1277"/>
      <c r="G188" s="484"/>
      <c r="H188" s="484"/>
      <c r="I188" s="484"/>
      <c r="J188" s="484"/>
      <c r="K188" s="484"/>
      <c r="L188" s="484"/>
      <c r="M188" s="484"/>
      <c r="N188" s="484"/>
      <c r="O188" s="484"/>
      <c r="P188" s="484"/>
      <c r="Q188" s="484"/>
      <c r="R188" s="484"/>
      <c r="S188" s="484"/>
      <c r="T188" s="1083"/>
      <c r="U188" s="1311"/>
      <c r="V188" s="1083"/>
      <c r="W188" s="1083"/>
      <c r="X188" s="1083"/>
      <c r="Y188" s="1083"/>
      <c r="Z188" s="1083"/>
      <c r="AA188" s="1083"/>
      <c r="AB188" s="1083"/>
      <c r="AC188" s="1083"/>
      <c r="AD188" s="1083"/>
      <c r="AE188" s="1083"/>
      <c r="AF188" s="1083"/>
      <c r="AG188" s="1083"/>
      <c r="AH188" s="1083"/>
      <c r="AI188" s="1083"/>
      <c r="AJ188" s="1083"/>
      <c r="AK188" s="1083"/>
    </row>
    <row r="189" spans="1:37" x14ac:dyDescent="0.35">
      <c r="A189" s="484"/>
      <c r="B189" s="484"/>
      <c r="C189" s="484"/>
      <c r="D189" s="484"/>
      <c r="E189" s="484"/>
      <c r="F189" s="1277"/>
      <c r="G189" s="484"/>
      <c r="H189" s="484"/>
      <c r="I189" s="484"/>
      <c r="J189" s="484"/>
      <c r="K189" s="484"/>
      <c r="L189" s="484"/>
      <c r="M189" s="484"/>
      <c r="N189" s="484"/>
      <c r="O189" s="484"/>
      <c r="P189" s="484"/>
      <c r="Q189" s="484"/>
      <c r="R189" s="484"/>
      <c r="S189" s="484"/>
      <c r="T189" s="1083"/>
      <c r="U189" s="1311"/>
      <c r="V189" s="1083"/>
      <c r="W189" s="1083"/>
      <c r="X189" s="1083"/>
      <c r="Y189" s="1083"/>
      <c r="Z189" s="1083"/>
      <c r="AA189" s="1083"/>
      <c r="AB189" s="1083"/>
      <c r="AC189" s="1083"/>
      <c r="AD189" s="1083"/>
      <c r="AE189" s="1083"/>
      <c r="AF189" s="1083"/>
      <c r="AG189" s="1083"/>
      <c r="AH189" s="1083"/>
      <c r="AI189" s="1083"/>
      <c r="AJ189" s="1083"/>
      <c r="AK189" s="1083"/>
    </row>
    <row r="190" spans="1:37" x14ac:dyDescent="0.35">
      <c r="A190" s="484"/>
      <c r="B190" s="484"/>
      <c r="C190" s="484"/>
      <c r="D190" s="484"/>
      <c r="E190" s="484"/>
      <c r="F190" s="1277"/>
      <c r="G190" s="484"/>
      <c r="H190" s="484"/>
      <c r="I190" s="484"/>
      <c r="J190" s="484"/>
      <c r="K190" s="484"/>
      <c r="L190" s="484"/>
      <c r="M190" s="484"/>
      <c r="N190" s="484"/>
      <c r="O190" s="484"/>
      <c r="P190" s="484"/>
      <c r="Q190" s="484"/>
      <c r="R190" s="484"/>
      <c r="S190" s="484"/>
      <c r="T190" s="1083"/>
      <c r="U190" s="1311"/>
      <c r="V190" s="1083"/>
      <c r="W190" s="1083"/>
      <c r="X190" s="1083"/>
      <c r="Y190" s="1083"/>
      <c r="Z190" s="1083"/>
      <c r="AA190" s="1083"/>
      <c r="AB190" s="1083"/>
      <c r="AC190" s="1083"/>
      <c r="AD190" s="1083"/>
      <c r="AE190" s="1083"/>
      <c r="AF190" s="1083"/>
      <c r="AG190" s="1083"/>
      <c r="AH190" s="1083"/>
      <c r="AI190" s="1083"/>
      <c r="AJ190" s="1083"/>
      <c r="AK190" s="1083"/>
    </row>
    <row r="191" spans="1:37" x14ac:dyDescent="0.35">
      <c r="A191" s="484"/>
      <c r="B191" s="484"/>
      <c r="C191" s="484"/>
      <c r="D191" s="484"/>
      <c r="E191" s="484"/>
      <c r="F191" s="1277"/>
      <c r="G191" s="484"/>
      <c r="H191" s="484"/>
      <c r="I191" s="484"/>
      <c r="J191" s="484"/>
      <c r="K191" s="484"/>
      <c r="L191" s="484"/>
      <c r="M191" s="484"/>
      <c r="N191" s="484"/>
      <c r="O191" s="484"/>
      <c r="P191" s="484"/>
      <c r="Q191" s="484"/>
      <c r="R191" s="484"/>
      <c r="S191" s="484"/>
      <c r="T191" s="1083"/>
      <c r="U191" s="1311"/>
      <c r="V191" s="1083"/>
      <c r="W191" s="1083"/>
      <c r="X191" s="1083"/>
      <c r="Y191" s="1083"/>
      <c r="Z191" s="1083"/>
      <c r="AA191" s="1083"/>
      <c r="AB191" s="1083"/>
      <c r="AC191" s="1083"/>
      <c r="AD191" s="1083"/>
      <c r="AE191" s="1083"/>
      <c r="AF191" s="1083"/>
      <c r="AG191" s="1083"/>
      <c r="AH191" s="1083"/>
      <c r="AI191" s="1083"/>
      <c r="AJ191" s="1083"/>
      <c r="AK191" s="1083"/>
    </row>
    <row r="192" spans="1:37" x14ac:dyDescent="0.35">
      <c r="A192" s="484"/>
      <c r="B192" s="484"/>
      <c r="C192" s="484"/>
      <c r="D192" s="484"/>
      <c r="E192" s="484"/>
      <c r="F192" s="1277"/>
      <c r="G192" s="484"/>
      <c r="H192" s="484"/>
      <c r="I192" s="484"/>
      <c r="J192" s="484"/>
      <c r="K192" s="484"/>
      <c r="L192" s="484"/>
      <c r="M192" s="484"/>
      <c r="N192" s="484"/>
      <c r="O192" s="484"/>
      <c r="P192" s="484"/>
      <c r="Q192" s="484"/>
      <c r="R192" s="484"/>
      <c r="S192" s="484"/>
      <c r="T192" s="1083"/>
      <c r="U192" s="1311"/>
      <c r="V192" s="1083"/>
      <c r="W192" s="1083"/>
      <c r="X192" s="1083"/>
      <c r="Y192" s="1083"/>
      <c r="Z192" s="1083"/>
      <c r="AA192" s="1083"/>
      <c r="AB192" s="1083"/>
      <c r="AC192" s="1083"/>
      <c r="AD192" s="1083"/>
      <c r="AE192" s="1083"/>
      <c r="AF192" s="1083"/>
      <c r="AG192" s="1083"/>
      <c r="AH192" s="1083"/>
      <c r="AI192" s="1083"/>
      <c r="AJ192" s="1083"/>
      <c r="AK192" s="1083"/>
    </row>
    <row r="193" spans="1:37" x14ac:dyDescent="0.35">
      <c r="A193" s="484"/>
      <c r="B193" s="484"/>
      <c r="C193" s="484"/>
      <c r="D193" s="484"/>
      <c r="E193" s="484"/>
      <c r="F193" s="1277"/>
      <c r="G193" s="484"/>
      <c r="H193" s="484"/>
      <c r="I193" s="484"/>
      <c r="J193" s="484"/>
      <c r="K193" s="484"/>
      <c r="L193" s="484"/>
      <c r="M193" s="484"/>
      <c r="N193" s="484"/>
      <c r="O193" s="484"/>
      <c r="P193" s="484"/>
      <c r="Q193" s="484"/>
      <c r="R193" s="484"/>
      <c r="S193" s="484"/>
      <c r="T193" s="1083"/>
      <c r="U193" s="1311"/>
      <c r="V193" s="1083"/>
      <c r="W193" s="1083"/>
      <c r="X193" s="1083"/>
      <c r="Y193" s="1083"/>
      <c r="Z193" s="1083"/>
      <c r="AA193" s="1083"/>
      <c r="AB193" s="1083"/>
      <c r="AC193" s="1083"/>
      <c r="AD193" s="1083"/>
      <c r="AE193" s="1083"/>
      <c r="AF193" s="1083"/>
      <c r="AG193" s="1083"/>
      <c r="AH193" s="1083"/>
      <c r="AI193" s="1083"/>
      <c r="AJ193" s="1083"/>
      <c r="AK193" s="1083"/>
    </row>
    <row r="194" spans="1:37" x14ac:dyDescent="0.35">
      <c r="A194" s="484"/>
      <c r="B194" s="484"/>
      <c r="C194" s="484"/>
      <c r="D194" s="484"/>
      <c r="E194" s="484"/>
      <c r="F194" s="1277"/>
      <c r="G194" s="484"/>
      <c r="H194" s="484"/>
      <c r="I194" s="484"/>
      <c r="J194" s="484"/>
      <c r="K194" s="484"/>
      <c r="L194" s="484"/>
      <c r="M194" s="484"/>
      <c r="N194" s="484"/>
      <c r="O194" s="484"/>
      <c r="P194" s="484"/>
      <c r="Q194" s="484"/>
      <c r="R194" s="484"/>
      <c r="S194" s="484"/>
      <c r="T194" s="1083"/>
      <c r="U194" s="1311"/>
      <c r="V194" s="1083"/>
      <c r="W194" s="1083"/>
      <c r="X194" s="1083"/>
      <c r="Y194" s="1083"/>
      <c r="Z194" s="1083"/>
      <c r="AA194" s="1083"/>
      <c r="AB194" s="1083"/>
      <c r="AC194" s="1083"/>
      <c r="AD194" s="1083"/>
      <c r="AE194" s="1083"/>
      <c r="AF194" s="1083"/>
      <c r="AG194" s="1083"/>
      <c r="AH194" s="1083"/>
      <c r="AI194" s="1083"/>
      <c r="AJ194" s="1083"/>
      <c r="AK194" s="1083"/>
    </row>
    <row r="195" spans="1:37" x14ac:dyDescent="0.35">
      <c r="A195" s="484"/>
      <c r="B195" s="484"/>
      <c r="C195" s="484"/>
      <c r="D195" s="484"/>
      <c r="E195" s="484"/>
      <c r="F195" s="1277"/>
      <c r="G195" s="484"/>
      <c r="H195" s="484"/>
      <c r="I195" s="484"/>
      <c r="J195" s="484"/>
      <c r="K195" s="484"/>
      <c r="L195" s="484"/>
      <c r="M195" s="484"/>
      <c r="N195" s="484"/>
      <c r="O195" s="484"/>
      <c r="P195" s="484"/>
      <c r="Q195" s="484"/>
      <c r="R195" s="484"/>
      <c r="S195" s="484"/>
      <c r="T195" s="1083"/>
      <c r="U195" s="1311"/>
      <c r="V195" s="1083"/>
      <c r="W195" s="1083"/>
      <c r="X195" s="1083"/>
      <c r="Y195" s="1083"/>
      <c r="Z195" s="1083"/>
      <c r="AA195" s="1083"/>
      <c r="AB195" s="1083"/>
      <c r="AC195" s="1083"/>
      <c r="AD195" s="1083"/>
      <c r="AE195" s="1083"/>
      <c r="AF195" s="1083"/>
      <c r="AG195" s="1083"/>
      <c r="AH195" s="1083"/>
      <c r="AI195" s="1083"/>
      <c r="AJ195" s="1083"/>
      <c r="AK195" s="1083"/>
    </row>
    <row r="196" spans="1:37" x14ac:dyDescent="0.35">
      <c r="A196" s="484"/>
      <c r="B196" s="484"/>
      <c r="C196" s="484"/>
      <c r="D196" s="484"/>
      <c r="E196" s="484"/>
      <c r="F196" s="1277"/>
      <c r="G196" s="484"/>
      <c r="H196" s="484"/>
      <c r="I196" s="484"/>
      <c r="J196" s="484"/>
      <c r="K196" s="484"/>
      <c r="L196" s="484"/>
      <c r="M196" s="484"/>
      <c r="N196" s="484"/>
      <c r="O196" s="484"/>
      <c r="P196" s="484"/>
      <c r="Q196" s="484"/>
      <c r="R196" s="484"/>
      <c r="S196" s="484"/>
      <c r="T196" s="1083"/>
      <c r="U196" s="1311"/>
      <c r="V196" s="1083"/>
      <c r="W196" s="1083"/>
      <c r="X196" s="1083"/>
      <c r="Y196" s="1083"/>
      <c r="Z196" s="1083"/>
      <c r="AA196" s="1083"/>
      <c r="AB196" s="1083"/>
      <c r="AC196" s="1083"/>
      <c r="AD196" s="1083"/>
      <c r="AE196" s="1083"/>
      <c r="AF196" s="1083"/>
      <c r="AG196" s="1083"/>
      <c r="AH196" s="1083"/>
      <c r="AI196" s="1083"/>
      <c r="AJ196" s="1083"/>
      <c r="AK196" s="1083"/>
    </row>
    <row r="197" spans="1:37" x14ac:dyDescent="0.35">
      <c r="A197" s="484"/>
      <c r="B197" s="484"/>
      <c r="C197" s="484"/>
      <c r="D197" s="484"/>
      <c r="E197" s="484"/>
      <c r="F197" s="1277"/>
      <c r="G197" s="484"/>
      <c r="H197" s="484"/>
      <c r="I197" s="484"/>
      <c r="J197" s="484"/>
      <c r="K197" s="484"/>
      <c r="L197" s="484"/>
      <c r="M197" s="484"/>
      <c r="N197" s="484"/>
      <c r="O197" s="484"/>
      <c r="P197" s="484"/>
      <c r="Q197" s="484"/>
      <c r="R197" s="484"/>
      <c r="S197" s="484"/>
      <c r="T197" s="1083"/>
      <c r="U197" s="1311"/>
      <c r="V197" s="1083"/>
      <c r="W197" s="1083"/>
      <c r="X197" s="1083"/>
      <c r="Y197" s="1083"/>
      <c r="Z197" s="1083"/>
      <c r="AA197" s="1083"/>
      <c r="AB197" s="1083"/>
      <c r="AC197" s="1083"/>
      <c r="AD197" s="1083"/>
      <c r="AE197" s="1083"/>
      <c r="AF197" s="1083"/>
      <c r="AG197" s="1083"/>
      <c r="AH197" s="1083"/>
      <c r="AI197" s="1083"/>
      <c r="AJ197" s="1083"/>
      <c r="AK197" s="1083"/>
    </row>
    <row r="198" spans="1:37" x14ac:dyDescent="0.35">
      <c r="A198" s="484"/>
      <c r="B198" s="484"/>
      <c r="C198" s="484"/>
      <c r="D198" s="484"/>
      <c r="E198" s="484"/>
      <c r="F198" s="1277"/>
      <c r="G198" s="484"/>
      <c r="H198" s="484"/>
      <c r="I198" s="484"/>
      <c r="J198" s="484"/>
      <c r="K198" s="484"/>
      <c r="L198" s="484"/>
      <c r="M198" s="484"/>
      <c r="N198" s="484"/>
      <c r="O198" s="484"/>
      <c r="P198" s="484"/>
      <c r="Q198" s="484"/>
      <c r="R198" s="484"/>
      <c r="S198" s="484"/>
      <c r="T198" s="1083"/>
      <c r="U198" s="1311"/>
      <c r="V198" s="1083"/>
      <c r="W198" s="1083"/>
      <c r="X198" s="1083"/>
      <c r="Y198" s="1083"/>
      <c r="Z198" s="1083"/>
      <c r="AA198" s="1083"/>
      <c r="AB198" s="1083"/>
      <c r="AC198" s="1083"/>
      <c r="AD198" s="1083"/>
      <c r="AE198" s="1083"/>
      <c r="AF198" s="1083"/>
      <c r="AG198" s="1083"/>
      <c r="AH198" s="1083"/>
      <c r="AI198" s="1083"/>
      <c r="AJ198" s="1083"/>
      <c r="AK198" s="1083"/>
    </row>
    <row r="199" spans="1:37" x14ac:dyDescent="0.35">
      <c r="A199" s="484"/>
      <c r="B199" s="484"/>
      <c r="C199" s="484"/>
      <c r="D199" s="484"/>
      <c r="E199" s="484"/>
      <c r="F199" s="1277"/>
      <c r="G199" s="484"/>
      <c r="H199" s="484"/>
      <c r="I199" s="484"/>
      <c r="J199" s="484"/>
      <c r="K199" s="484"/>
      <c r="L199" s="484"/>
      <c r="M199" s="484"/>
      <c r="N199" s="484"/>
      <c r="O199" s="484"/>
      <c r="P199" s="484"/>
      <c r="Q199" s="484"/>
      <c r="R199" s="484"/>
      <c r="S199" s="484"/>
      <c r="T199" s="1083"/>
      <c r="U199" s="1311"/>
      <c r="V199" s="1083"/>
      <c r="W199" s="1083"/>
      <c r="X199" s="1083"/>
      <c r="Y199" s="1083"/>
      <c r="Z199" s="1083"/>
      <c r="AA199" s="1083"/>
      <c r="AB199" s="1083"/>
      <c r="AC199" s="1083"/>
      <c r="AD199" s="1083"/>
      <c r="AE199" s="1083"/>
      <c r="AF199" s="1083"/>
      <c r="AG199" s="1083"/>
      <c r="AH199" s="1083"/>
      <c r="AI199" s="1083"/>
      <c r="AJ199" s="1083"/>
      <c r="AK199" s="1083"/>
    </row>
    <row r="200" spans="1:37" x14ac:dyDescent="0.35">
      <c r="A200" s="484"/>
      <c r="B200" s="484"/>
      <c r="C200" s="484"/>
      <c r="D200" s="484"/>
      <c r="E200" s="484"/>
      <c r="F200" s="1277"/>
      <c r="G200" s="484"/>
      <c r="H200" s="484"/>
      <c r="I200" s="484"/>
      <c r="J200" s="484"/>
      <c r="K200" s="484"/>
      <c r="L200" s="484"/>
      <c r="M200" s="484"/>
      <c r="N200" s="484"/>
      <c r="O200" s="484"/>
      <c r="P200" s="484"/>
      <c r="Q200" s="484"/>
      <c r="R200" s="484"/>
      <c r="S200" s="484"/>
      <c r="T200" s="1083"/>
      <c r="U200" s="1311"/>
      <c r="V200" s="1083"/>
      <c r="W200" s="1083"/>
      <c r="X200" s="1083"/>
      <c r="Y200" s="1083"/>
      <c r="Z200" s="1083"/>
      <c r="AA200" s="1083"/>
      <c r="AB200" s="1083"/>
      <c r="AC200" s="1083"/>
      <c r="AD200" s="1083"/>
      <c r="AE200" s="1083"/>
      <c r="AF200" s="1083"/>
      <c r="AG200" s="1083"/>
      <c r="AH200" s="1083"/>
      <c r="AI200" s="1083"/>
      <c r="AJ200" s="1083"/>
      <c r="AK200" s="1083"/>
    </row>
    <row r="201" spans="1:37" x14ac:dyDescent="0.35">
      <c r="A201" s="484"/>
      <c r="B201" s="484"/>
      <c r="C201" s="484"/>
      <c r="D201" s="484"/>
      <c r="E201" s="484"/>
      <c r="F201" s="1277"/>
      <c r="G201" s="484"/>
      <c r="H201" s="484"/>
      <c r="I201" s="484"/>
      <c r="J201" s="484"/>
      <c r="K201" s="484"/>
      <c r="L201" s="484"/>
      <c r="M201" s="484"/>
      <c r="N201" s="484"/>
      <c r="O201" s="484"/>
      <c r="P201" s="484"/>
      <c r="Q201" s="484"/>
      <c r="R201" s="484"/>
      <c r="S201" s="484"/>
      <c r="T201" s="1083"/>
      <c r="U201" s="1311"/>
      <c r="V201" s="1083"/>
      <c r="W201" s="1083"/>
      <c r="X201" s="1083"/>
      <c r="Y201" s="1083"/>
      <c r="Z201" s="1083"/>
      <c r="AA201" s="1083"/>
      <c r="AB201" s="1083"/>
      <c r="AC201" s="1083"/>
      <c r="AD201" s="1083"/>
      <c r="AE201" s="1083"/>
      <c r="AF201" s="1083"/>
      <c r="AG201" s="1083"/>
      <c r="AH201" s="1083"/>
      <c r="AI201" s="1083"/>
      <c r="AJ201" s="1083"/>
      <c r="AK201" s="1083"/>
    </row>
    <row r="202" spans="1:37" x14ac:dyDescent="0.35">
      <c r="A202" s="484"/>
      <c r="B202" s="484"/>
      <c r="C202" s="484"/>
      <c r="D202" s="484"/>
      <c r="E202" s="484"/>
      <c r="F202" s="1277"/>
      <c r="G202" s="484"/>
      <c r="H202" s="484"/>
      <c r="I202" s="484"/>
      <c r="J202" s="484"/>
      <c r="K202" s="484"/>
      <c r="L202" s="484"/>
      <c r="M202" s="484"/>
      <c r="N202" s="484"/>
      <c r="O202" s="484"/>
      <c r="P202" s="484"/>
      <c r="Q202" s="484"/>
      <c r="R202" s="484"/>
      <c r="S202" s="484"/>
      <c r="T202" s="1083"/>
      <c r="U202" s="1311"/>
      <c r="V202" s="1083"/>
      <c r="W202" s="1083"/>
      <c r="X202" s="1083"/>
      <c r="Y202" s="1083"/>
      <c r="Z202" s="1083"/>
      <c r="AA202" s="1083"/>
      <c r="AB202" s="1083"/>
      <c r="AC202" s="1083"/>
      <c r="AD202" s="1083"/>
      <c r="AE202" s="1083"/>
      <c r="AF202" s="1083"/>
      <c r="AG202" s="1083"/>
      <c r="AH202" s="1083"/>
      <c r="AI202" s="1083"/>
      <c r="AJ202" s="1083"/>
      <c r="AK202" s="1083"/>
    </row>
    <row r="203" spans="1:37" x14ac:dyDescent="0.35">
      <c r="A203" s="484"/>
      <c r="B203" s="484"/>
      <c r="C203" s="484"/>
      <c r="D203" s="484"/>
      <c r="E203" s="484"/>
      <c r="F203" s="1277"/>
      <c r="G203" s="484"/>
      <c r="H203" s="484"/>
      <c r="I203" s="484"/>
      <c r="J203" s="484"/>
      <c r="K203" s="484"/>
      <c r="L203" s="484"/>
      <c r="M203" s="484"/>
      <c r="N203" s="484"/>
      <c r="O203" s="484"/>
      <c r="P203" s="484"/>
      <c r="Q203" s="484"/>
      <c r="R203" s="484"/>
      <c r="S203" s="484"/>
      <c r="T203" s="1083"/>
      <c r="U203" s="1311"/>
      <c r="V203" s="1083"/>
      <c r="W203" s="1083"/>
      <c r="X203" s="1083"/>
      <c r="Y203" s="1083"/>
      <c r="Z203" s="1083"/>
      <c r="AA203" s="1083"/>
      <c r="AB203" s="1083"/>
      <c r="AC203" s="1083"/>
      <c r="AD203" s="1083"/>
      <c r="AE203" s="1083"/>
      <c r="AF203" s="1083"/>
      <c r="AG203" s="1083"/>
      <c r="AH203" s="1083"/>
      <c r="AI203" s="1083"/>
      <c r="AJ203" s="1083"/>
      <c r="AK203" s="1083"/>
    </row>
    <row r="204" spans="1:37" x14ac:dyDescent="0.35">
      <c r="A204" s="484"/>
      <c r="B204" s="484"/>
      <c r="C204" s="484"/>
      <c r="D204" s="484"/>
      <c r="E204" s="484"/>
      <c r="F204" s="1277"/>
      <c r="G204" s="484"/>
      <c r="H204" s="484"/>
      <c r="I204" s="484"/>
      <c r="J204" s="484"/>
      <c r="K204" s="484"/>
      <c r="L204" s="484"/>
      <c r="M204" s="484"/>
      <c r="N204" s="484"/>
      <c r="O204" s="484"/>
      <c r="P204" s="484"/>
      <c r="Q204" s="484"/>
      <c r="R204" s="484"/>
      <c r="S204" s="484"/>
      <c r="T204" s="1083"/>
      <c r="U204" s="1311"/>
      <c r="V204" s="1083"/>
      <c r="W204" s="1083"/>
      <c r="X204" s="1083"/>
      <c r="Y204" s="1083"/>
      <c r="Z204" s="1083"/>
      <c r="AA204" s="1083"/>
      <c r="AB204" s="1083"/>
      <c r="AC204" s="1083"/>
      <c r="AD204" s="1083"/>
      <c r="AE204" s="1083"/>
      <c r="AF204" s="1083"/>
      <c r="AG204" s="1083"/>
      <c r="AH204" s="1083"/>
      <c r="AI204" s="1083"/>
      <c r="AJ204" s="1083"/>
      <c r="AK204" s="1083"/>
    </row>
    <row r="205" spans="1:37" x14ac:dyDescent="0.35">
      <c r="A205" s="484"/>
      <c r="B205" s="484"/>
      <c r="C205" s="484"/>
      <c r="D205" s="484"/>
      <c r="E205" s="484"/>
      <c r="F205" s="1277"/>
      <c r="G205" s="484"/>
      <c r="H205" s="484"/>
      <c r="I205" s="484"/>
      <c r="J205" s="484"/>
      <c r="K205" s="484"/>
      <c r="L205" s="484"/>
      <c r="M205" s="484"/>
      <c r="N205" s="484"/>
      <c r="O205" s="484"/>
      <c r="P205" s="484"/>
      <c r="Q205" s="484"/>
      <c r="R205" s="484"/>
      <c r="S205" s="484"/>
      <c r="T205" s="1083"/>
      <c r="U205" s="1311"/>
      <c r="V205" s="1083"/>
      <c r="W205" s="1083"/>
      <c r="X205" s="1083"/>
      <c r="Y205" s="1083"/>
      <c r="Z205" s="1083"/>
      <c r="AA205" s="1083"/>
      <c r="AB205" s="1083"/>
      <c r="AC205" s="1083"/>
      <c r="AD205" s="1083"/>
      <c r="AE205" s="1083"/>
      <c r="AF205" s="1083"/>
      <c r="AG205" s="1083"/>
      <c r="AH205" s="1083"/>
      <c r="AI205" s="1083"/>
      <c r="AJ205" s="1083"/>
      <c r="AK205" s="1083"/>
    </row>
    <row r="206" spans="1:37" x14ac:dyDescent="0.35">
      <c r="A206" s="484"/>
      <c r="B206" s="484"/>
      <c r="C206" s="484"/>
      <c r="D206" s="484"/>
      <c r="E206" s="484"/>
      <c r="F206" s="1277"/>
      <c r="G206" s="484"/>
      <c r="H206" s="484"/>
      <c r="I206" s="484"/>
      <c r="J206" s="484"/>
      <c r="K206" s="484"/>
      <c r="L206" s="484"/>
      <c r="M206" s="484"/>
      <c r="N206" s="484"/>
      <c r="O206" s="484"/>
      <c r="P206" s="484"/>
      <c r="Q206" s="484"/>
      <c r="R206" s="484"/>
      <c r="S206" s="484"/>
      <c r="T206" s="1083"/>
      <c r="U206" s="1311"/>
      <c r="V206" s="1083"/>
      <c r="W206" s="1083"/>
      <c r="X206" s="1083"/>
      <c r="Y206" s="1083"/>
      <c r="Z206" s="1083"/>
      <c r="AA206" s="1083"/>
      <c r="AB206" s="1083"/>
      <c r="AC206" s="1083"/>
      <c r="AD206" s="1083"/>
      <c r="AE206" s="1083"/>
      <c r="AF206" s="1083"/>
      <c r="AG206" s="1083"/>
      <c r="AH206" s="1083"/>
      <c r="AI206" s="1083"/>
      <c r="AJ206" s="1083"/>
      <c r="AK206" s="1083"/>
    </row>
    <row r="207" spans="1:37" x14ac:dyDescent="0.35">
      <c r="A207" s="484"/>
      <c r="B207" s="484"/>
      <c r="C207" s="484"/>
      <c r="D207" s="484"/>
      <c r="E207" s="484"/>
      <c r="F207" s="1277"/>
      <c r="G207" s="484"/>
      <c r="H207" s="484"/>
      <c r="I207" s="484"/>
      <c r="J207" s="484"/>
      <c r="K207" s="484"/>
      <c r="L207" s="484"/>
      <c r="M207" s="484"/>
      <c r="N207" s="484"/>
      <c r="O207" s="484"/>
      <c r="P207" s="484"/>
      <c r="Q207" s="484"/>
      <c r="R207" s="484"/>
      <c r="S207" s="484"/>
      <c r="T207" s="1083"/>
      <c r="U207" s="1311"/>
      <c r="V207" s="1083"/>
      <c r="W207" s="1083"/>
      <c r="X207" s="1083"/>
      <c r="Y207" s="1083"/>
      <c r="Z207" s="1083"/>
      <c r="AA207" s="1083"/>
      <c r="AB207" s="1083"/>
      <c r="AC207" s="1083"/>
      <c r="AD207" s="1083"/>
      <c r="AE207" s="1083"/>
      <c r="AF207" s="1083"/>
      <c r="AG207" s="1083"/>
      <c r="AH207" s="1083"/>
      <c r="AI207" s="1083"/>
      <c r="AJ207" s="1083"/>
      <c r="AK207" s="1083"/>
    </row>
    <row r="208" spans="1:37" x14ac:dyDescent="0.35">
      <c r="A208" s="484"/>
      <c r="B208" s="484"/>
      <c r="C208" s="484"/>
      <c r="D208" s="484"/>
      <c r="E208" s="484"/>
      <c r="F208" s="1277"/>
      <c r="G208" s="484"/>
      <c r="H208" s="484"/>
      <c r="I208" s="484"/>
      <c r="J208" s="484"/>
      <c r="K208" s="484"/>
      <c r="L208" s="484"/>
      <c r="M208" s="484"/>
      <c r="N208" s="484"/>
      <c r="O208" s="484"/>
      <c r="P208" s="484"/>
      <c r="Q208" s="484"/>
      <c r="R208" s="484"/>
      <c r="S208" s="484"/>
      <c r="T208" s="1083"/>
      <c r="U208" s="1311"/>
      <c r="V208" s="1083"/>
      <c r="W208" s="1083"/>
      <c r="X208" s="1083"/>
      <c r="Y208" s="1083"/>
      <c r="Z208" s="1083"/>
      <c r="AA208" s="1083"/>
      <c r="AB208" s="1083"/>
      <c r="AC208" s="1083"/>
      <c r="AD208" s="1083"/>
      <c r="AE208" s="1083"/>
      <c r="AF208" s="1083"/>
      <c r="AG208" s="1083"/>
      <c r="AH208" s="1083"/>
      <c r="AI208" s="1083"/>
      <c r="AJ208" s="1083"/>
      <c r="AK208" s="1083"/>
    </row>
    <row r="209" spans="1:37" x14ac:dyDescent="0.35">
      <c r="A209" s="484"/>
      <c r="B209" s="484"/>
      <c r="C209" s="484"/>
      <c r="D209" s="484"/>
      <c r="E209" s="484"/>
      <c r="F209" s="1277"/>
      <c r="G209" s="484"/>
      <c r="H209" s="484"/>
      <c r="I209" s="484"/>
      <c r="J209" s="484"/>
      <c r="K209" s="484"/>
      <c r="L209" s="484"/>
      <c r="M209" s="484"/>
      <c r="N209" s="484"/>
      <c r="O209" s="484"/>
      <c r="P209" s="484"/>
      <c r="Q209" s="484"/>
      <c r="R209" s="484"/>
      <c r="S209" s="484"/>
      <c r="T209" s="1083"/>
      <c r="U209" s="1311"/>
      <c r="V209" s="1083"/>
      <c r="W209" s="1083"/>
      <c r="X209" s="1083"/>
      <c r="Y209" s="1083"/>
      <c r="Z209" s="1083"/>
      <c r="AA209" s="1083"/>
      <c r="AB209" s="1083"/>
      <c r="AC209" s="1083"/>
      <c r="AD209" s="1083"/>
      <c r="AE209" s="1083"/>
      <c r="AF209" s="1083"/>
      <c r="AG209" s="1083"/>
      <c r="AH209" s="1083"/>
      <c r="AI209" s="1083"/>
      <c r="AJ209" s="1083"/>
      <c r="AK209" s="1083"/>
    </row>
    <row r="210" spans="1:37" x14ac:dyDescent="0.35">
      <c r="A210" s="484"/>
      <c r="B210" s="484"/>
      <c r="C210" s="484"/>
      <c r="D210" s="484"/>
      <c r="E210" s="484"/>
      <c r="F210" s="1277"/>
      <c r="G210" s="484"/>
      <c r="H210" s="484"/>
      <c r="I210" s="484"/>
      <c r="J210" s="484"/>
      <c r="K210" s="484"/>
      <c r="L210" s="484"/>
      <c r="M210" s="484"/>
      <c r="N210" s="484"/>
      <c r="O210" s="484"/>
      <c r="P210" s="484"/>
      <c r="Q210" s="484"/>
      <c r="R210" s="484"/>
      <c r="S210" s="484"/>
      <c r="T210" s="1083"/>
      <c r="U210" s="1311"/>
      <c r="V210" s="1083"/>
      <c r="W210" s="1083"/>
      <c r="X210" s="1083"/>
      <c r="Y210" s="1083"/>
      <c r="Z210" s="1083"/>
      <c r="AA210" s="1083"/>
      <c r="AB210" s="1083"/>
      <c r="AC210" s="1083"/>
      <c r="AD210" s="1083"/>
      <c r="AE210" s="1083"/>
      <c r="AF210" s="1083"/>
      <c r="AG210" s="1083"/>
      <c r="AH210" s="1083"/>
      <c r="AI210" s="1083"/>
      <c r="AJ210" s="1083"/>
      <c r="AK210" s="1083"/>
    </row>
    <row r="211" spans="1:37" x14ac:dyDescent="0.35">
      <c r="A211" s="484"/>
      <c r="B211" s="484"/>
      <c r="C211" s="484"/>
      <c r="D211" s="484"/>
      <c r="E211" s="484"/>
      <c r="F211" s="1277"/>
      <c r="G211" s="484"/>
      <c r="H211" s="484"/>
      <c r="I211" s="484"/>
      <c r="J211" s="484"/>
      <c r="K211" s="484"/>
      <c r="L211" s="484"/>
      <c r="M211" s="484"/>
      <c r="N211" s="484"/>
      <c r="O211" s="484"/>
      <c r="P211" s="484"/>
      <c r="Q211" s="484"/>
      <c r="R211" s="484"/>
      <c r="S211" s="484"/>
      <c r="T211" s="1083"/>
      <c r="U211" s="1311"/>
      <c r="V211" s="1083"/>
      <c r="W211" s="1083"/>
      <c r="X211" s="1083"/>
      <c r="Y211" s="1083"/>
      <c r="Z211" s="1083"/>
      <c r="AA211" s="1083"/>
      <c r="AB211" s="1083"/>
      <c r="AC211" s="1083"/>
      <c r="AD211" s="1083"/>
      <c r="AE211" s="1083"/>
      <c r="AF211" s="1083"/>
      <c r="AG211" s="1083"/>
      <c r="AH211" s="1083"/>
      <c r="AI211" s="1083"/>
      <c r="AJ211" s="1083"/>
      <c r="AK211" s="1083"/>
    </row>
    <row r="212" spans="1:37" x14ac:dyDescent="0.35">
      <c r="A212" s="484"/>
      <c r="B212" s="484"/>
      <c r="C212" s="484"/>
      <c r="D212" s="484"/>
      <c r="E212" s="484"/>
      <c r="F212" s="1277"/>
      <c r="G212" s="484"/>
      <c r="H212" s="484"/>
      <c r="I212" s="484"/>
      <c r="J212" s="484"/>
      <c r="K212" s="484"/>
      <c r="L212" s="484"/>
      <c r="M212" s="484"/>
      <c r="N212" s="484"/>
      <c r="O212" s="484"/>
      <c r="P212" s="484"/>
      <c r="Q212" s="484"/>
      <c r="R212" s="484"/>
      <c r="S212" s="484"/>
      <c r="T212" s="1083"/>
      <c r="U212" s="1311"/>
      <c r="V212" s="1083"/>
      <c r="W212" s="1083"/>
      <c r="X212" s="1083"/>
      <c r="Y212" s="1083"/>
      <c r="Z212" s="1083"/>
      <c r="AA212" s="1083"/>
      <c r="AB212" s="1083"/>
      <c r="AC212" s="1083"/>
      <c r="AD212" s="1083"/>
      <c r="AE212" s="1083"/>
      <c r="AF212" s="1083"/>
      <c r="AG212" s="1083"/>
      <c r="AH212" s="1083"/>
      <c r="AI212" s="1083"/>
      <c r="AJ212" s="1083"/>
      <c r="AK212" s="1083"/>
    </row>
    <row r="213" spans="1:37" x14ac:dyDescent="0.35">
      <c r="A213" s="484"/>
      <c r="B213" s="484"/>
      <c r="C213" s="484"/>
      <c r="D213" s="484"/>
      <c r="E213" s="484"/>
      <c r="F213" s="1277"/>
      <c r="G213" s="484"/>
      <c r="H213" s="484"/>
      <c r="I213" s="484"/>
      <c r="J213" s="484"/>
      <c r="K213" s="484"/>
      <c r="L213" s="484"/>
      <c r="M213" s="484"/>
      <c r="N213" s="484"/>
      <c r="O213" s="484"/>
      <c r="P213" s="484"/>
      <c r="Q213" s="484"/>
      <c r="R213" s="484"/>
      <c r="S213" s="484"/>
      <c r="T213" s="1083"/>
      <c r="U213" s="1311"/>
      <c r="V213" s="1083"/>
      <c r="W213" s="1083"/>
      <c r="X213" s="1083"/>
      <c r="Y213" s="1083"/>
      <c r="Z213" s="1083"/>
      <c r="AA213" s="1083"/>
      <c r="AB213" s="1083"/>
      <c r="AC213" s="1083"/>
      <c r="AD213" s="1083"/>
      <c r="AE213" s="1083"/>
      <c r="AF213" s="1083"/>
      <c r="AG213" s="1083"/>
      <c r="AH213" s="1083"/>
      <c r="AI213" s="1083"/>
      <c r="AJ213" s="1083"/>
      <c r="AK213" s="1083"/>
    </row>
    <row r="214" spans="1:37" x14ac:dyDescent="0.35">
      <c r="A214" s="484"/>
      <c r="B214" s="484"/>
      <c r="C214" s="484"/>
      <c r="D214" s="484"/>
      <c r="E214" s="484"/>
      <c r="F214" s="1277"/>
      <c r="G214" s="484"/>
      <c r="H214" s="484"/>
      <c r="I214" s="484"/>
      <c r="J214" s="484"/>
      <c r="K214" s="484"/>
      <c r="L214" s="484"/>
      <c r="M214" s="484"/>
      <c r="N214" s="484"/>
      <c r="O214" s="484"/>
      <c r="P214" s="484"/>
      <c r="Q214" s="484"/>
      <c r="R214" s="484"/>
      <c r="S214" s="484"/>
      <c r="T214" s="1083"/>
      <c r="U214" s="1311"/>
      <c r="V214" s="1083"/>
      <c r="W214" s="1083"/>
      <c r="X214" s="1083"/>
      <c r="Y214" s="1083"/>
      <c r="Z214" s="1083"/>
      <c r="AA214" s="1083"/>
      <c r="AB214" s="1083"/>
      <c r="AC214" s="1083"/>
      <c r="AD214" s="1083"/>
      <c r="AE214" s="1083"/>
      <c r="AF214" s="1083"/>
      <c r="AG214" s="1083"/>
      <c r="AH214" s="1083"/>
      <c r="AI214" s="1083"/>
      <c r="AJ214" s="1083"/>
      <c r="AK214" s="1083"/>
    </row>
    <row r="215" spans="1:37" x14ac:dyDescent="0.35">
      <c r="A215" s="484"/>
      <c r="B215" s="484"/>
      <c r="C215" s="484"/>
      <c r="D215" s="484"/>
      <c r="E215" s="484"/>
      <c r="F215" s="1277"/>
      <c r="G215" s="484"/>
      <c r="H215" s="484"/>
      <c r="I215" s="484"/>
      <c r="J215" s="484"/>
      <c r="K215" s="484"/>
      <c r="L215" s="484"/>
      <c r="M215" s="484"/>
      <c r="N215" s="484"/>
      <c r="O215" s="484"/>
      <c r="P215" s="484"/>
      <c r="Q215" s="484"/>
      <c r="R215" s="484"/>
      <c r="S215" s="484"/>
      <c r="T215" s="1083"/>
      <c r="U215" s="1311"/>
      <c r="V215" s="1083"/>
      <c r="W215" s="1083"/>
      <c r="X215" s="1083"/>
      <c r="Y215" s="1083"/>
      <c r="Z215" s="1083"/>
      <c r="AA215" s="1083"/>
      <c r="AB215" s="1083"/>
      <c r="AC215" s="1083"/>
      <c r="AD215" s="1083"/>
      <c r="AE215" s="1083"/>
      <c r="AF215" s="1083"/>
      <c r="AG215" s="1083"/>
      <c r="AH215" s="1083"/>
      <c r="AI215" s="1083"/>
      <c r="AJ215" s="1083"/>
      <c r="AK215" s="1083"/>
    </row>
    <row r="216" spans="1:37" x14ac:dyDescent="0.35">
      <c r="A216" s="484"/>
      <c r="B216" s="484"/>
      <c r="C216" s="484"/>
      <c r="D216" s="484"/>
      <c r="E216" s="484"/>
      <c r="F216" s="1277"/>
      <c r="G216" s="484"/>
      <c r="H216" s="484"/>
      <c r="I216" s="484"/>
      <c r="J216" s="484"/>
      <c r="K216" s="484"/>
      <c r="L216" s="484"/>
      <c r="M216" s="484"/>
      <c r="N216" s="484"/>
      <c r="O216" s="484"/>
      <c r="P216" s="484"/>
      <c r="Q216" s="484"/>
      <c r="R216" s="484"/>
      <c r="S216" s="484"/>
      <c r="T216" s="1083"/>
      <c r="U216" s="1311"/>
      <c r="V216" s="1083"/>
      <c r="W216" s="1083"/>
      <c r="X216" s="1083"/>
      <c r="Y216" s="1083"/>
      <c r="Z216" s="1083"/>
      <c r="AA216" s="1083"/>
      <c r="AB216" s="1083"/>
      <c r="AC216" s="1083"/>
      <c r="AD216" s="1083"/>
      <c r="AE216" s="1083"/>
      <c r="AF216" s="1083"/>
      <c r="AG216" s="1083"/>
      <c r="AH216" s="1083"/>
      <c r="AI216" s="1083"/>
      <c r="AJ216" s="1083"/>
      <c r="AK216" s="1083"/>
    </row>
    <row r="217" spans="1:37" x14ac:dyDescent="0.35">
      <c r="A217" s="484"/>
      <c r="B217" s="484"/>
      <c r="C217" s="484"/>
      <c r="D217" s="484"/>
      <c r="E217" s="484"/>
      <c r="F217" s="1277"/>
      <c r="G217" s="484"/>
      <c r="H217" s="484"/>
      <c r="I217" s="484"/>
      <c r="J217" s="484"/>
      <c r="K217" s="484"/>
      <c r="L217" s="484"/>
      <c r="M217" s="484"/>
      <c r="N217" s="484"/>
      <c r="O217" s="484"/>
      <c r="P217" s="484"/>
      <c r="Q217" s="484"/>
      <c r="R217" s="484"/>
      <c r="S217" s="484"/>
      <c r="T217" s="1083"/>
      <c r="U217" s="1311"/>
      <c r="V217" s="1083"/>
      <c r="W217" s="1083"/>
      <c r="X217" s="1083"/>
      <c r="Y217" s="1083"/>
      <c r="Z217" s="1083"/>
      <c r="AA217" s="1083"/>
      <c r="AB217" s="1083"/>
      <c r="AC217" s="1083"/>
      <c r="AD217" s="1083"/>
      <c r="AE217" s="1083"/>
      <c r="AF217" s="1083"/>
      <c r="AG217" s="1083"/>
      <c r="AH217" s="1083"/>
      <c r="AI217" s="1083"/>
      <c r="AJ217" s="1083"/>
      <c r="AK217" s="1083"/>
    </row>
    <row r="218" spans="1:37" x14ac:dyDescent="0.35">
      <c r="A218" s="484"/>
      <c r="B218" s="484"/>
      <c r="C218" s="484"/>
      <c r="D218" s="484"/>
      <c r="E218" s="484"/>
      <c r="F218" s="1277"/>
      <c r="G218" s="484"/>
      <c r="H218" s="484"/>
      <c r="I218" s="484"/>
      <c r="J218" s="484"/>
      <c r="K218" s="484"/>
      <c r="L218" s="484"/>
      <c r="M218" s="484"/>
      <c r="N218" s="484"/>
      <c r="O218" s="484"/>
      <c r="P218" s="484"/>
      <c r="Q218" s="484"/>
      <c r="R218" s="484"/>
      <c r="S218" s="484"/>
      <c r="T218" s="1083"/>
      <c r="U218" s="1311"/>
      <c r="V218" s="1083"/>
      <c r="W218" s="1083"/>
      <c r="X218" s="1083"/>
      <c r="Y218" s="1083"/>
      <c r="Z218" s="1083"/>
      <c r="AA218" s="1083"/>
      <c r="AB218" s="1083"/>
      <c r="AC218" s="1083"/>
      <c r="AD218" s="1083"/>
      <c r="AE218" s="1083"/>
      <c r="AF218" s="1083"/>
      <c r="AG218" s="1083"/>
      <c r="AH218" s="1083"/>
      <c r="AI218" s="1083"/>
      <c r="AJ218" s="1083"/>
      <c r="AK218" s="1083"/>
    </row>
    <row r="219" spans="1:37" x14ac:dyDescent="0.35">
      <c r="A219" s="484"/>
      <c r="B219" s="484"/>
      <c r="C219" s="484"/>
      <c r="D219" s="484"/>
      <c r="E219" s="484"/>
      <c r="F219" s="1277"/>
      <c r="G219" s="484"/>
      <c r="H219" s="484"/>
      <c r="I219" s="484"/>
      <c r="J219" s="484"/>
      <c r="K219" s="484"/>
      <c r="L219" s="484"/>
      <c r="M219" s="484"/>
      <c r="N219" s="484"/>
      <c r="O219" s="484"/>
      <c r="P219" s="484"/>
      <c r="Q219" s="484"/>
      <c r="R219" s="484"/>
      <c r="S219" s="484"/>
      <c r="T219" s="1083"/>
      <c r="U219" s="1311"/>
      <c r="V219" s="1083"/>
      <c r="W219" s="1083"/>
      <c r="X219" s="1083"/>
      <c r="Y219" s="1083"/>
      <c r="Z219" s="1083"/>
      <c r="AA219" s="1083"/>
      <c r="AB219" s="1083"/>
      <c r="AC219" s="1083"/>
      <c r="AD219" s="1083"/>
      <c r="AE219" s="1083"/>
      <c r="AF219" s="1083"/>
      <c r="AG219" s="1083"/>
      <c r="AH219" s="1083"/>
      <c r="AI219" s="1083"/>
      <c r="AJ219" s="1083"/>
      <c r="AK219" s="1083"/>
    </row>
    <row r="220" spans="1:37" x14ac:dyDescent="0.35">
      <c r="A220" s="484"/>
      <c r="B220" s="484"/>
      <c r="C220" s="484"/>
      <c r="D220" s="484"/>
      <c r="E220" s="484"/>
      <c r="F220" s="1277"/>
      <c r="G220" s="484"/>
      <c r="H220" s="484"/>
      <c r="I220" s="484"/>
      <c r="J220" s="484"/>
      <c r="K220" s="484"/>
      <c r="L220" s="484"/>
      <c r="M220" s="484"/>
      <c r="N220" s="484"/>
      <c r="O220" s="484"/>
      <c r="P220" s="484"/>
      <c r="Q220" s="484"/>
      <c r="R220" s="484"/>
      <c r="S220" s="484"/>
      <c r="T220" s="1083"/>
      <c r="U220" s="1311"/>
      <c r="V220" s="1083"/>
      <c r="W220" s="1083"/>
      <c r="X220" s="1083"/>
      <c r="Y220" s="1083"/>
      <c r="Z220" s="1083"/>
      <c r="AA220" s="1083"/>
      <c r="AB220" s="1083"/>
      <c r="AC220" s="1083"/>
      <c r="AD220" s="1083"/>
      <c r="AE220" s="1083"/>
      <c r="AF220" s="1083"/>
      <c r="AG220" s="1083"/>
      <c r="AH220" s="1083"/>
      <c r="AI220" s="1083"/>
      <c r="AJ220" s="1083"/>
      <c r="AK220" s="1083"/>
    </row>
    <row r="221" spans="1:37" x14ac:dyDescent="0.35">
      <c r="A221" s="484"/>
      <c r="B221" s="484"/>
      <c r="C221" s="484"/>
      <c r="D221" s="484"/>
      <c r="E221" s="484"/>
      <c r="F221" s="1277"/>
      <c r="G221" s="484"/>
      <c r="H221" s="484"/>
      <c r="I221" s="484"/>
      <c r="J221" s="484"/>
      <c r="K221" s="484"/>
      <c r="L221" s="484"/>
      <c r="M221" s="484"/>
      <c r="N221" s="484"/>
      <c r="O221" s="484"/>
      <c r="P221" s="484"/>
      <c r="Q221" s="484"/>
      <c r="R221" s="484"/>
      <c r="S221" s="484"/>
      <c r="T221" s="1083"/>
      <c r="U221" s="1311"/>
      <c r="V221" s="1083"/>
      <c r="W221" s="1083"/>
      <c r="X221" s="1083"/>
      <c r="Y221" s="1083"/>
      <c r="Z221" s="1083"/>
      <c r="AA221" s="1083"/>
      <c r="AB221" s="1083"/>
      <c r="AC221" s="1083"/>
      <c r="AD221" s="1083"/>
      <c r="AE221" s="1083"/>
      <c r="AF221" s="1083"/>
      <c r="AG221" s="1083"/>
      <c r="AH221" s="1083"/>
      <c r="AI221" s="1083"/>
      <c r="AJ221" s="1083"/>
      <c r="AK221" s="1083"/>
    </row>
    <row r="222" spans="1:37" x14ac:dyDescent="0.35">
      <c r="A222" s="484"/>
      <c r="B222" s="484"/>
      <c r="C222" s="484"/>
      <c r="D222" s="484"/>
      <c r="E222" s="484"/>
      <c r="F222" s="1277"/>
      <c r="G222" s="484"/>
      <c r="H222" s="484"/>
      <c r="I222" s="484"/>
      <c r="J222" s="484"/>
      <c r="K222" s="484"/>
      <c r="L222" s="484"/>
      <c r="M222" s="484"/>
      <c r="N222" s="484"/>
      <c r="O222" s="484"/>
      <c r="P222" s="484"/>
      <c r="Q222" s="484"/>
      <c r="R222" s="484"/>
      <c r="S222" s="484"/>
      <c r="T222" s="1083"/>
      <c r="U222" s="1311"/>
      <c r="V222" s="1083"/>
      <c r="W222" s="1083"/>
      <c r="X222" s="1083"/>
      <c r="Y222" s="1083"/>
      <c r="Z222" s="1083"/>
      <c r="AA222" s="1083"/>
      <c r="AB222" s="1083"/>
      <c r="AC222" s="1083"/>
      <c r="AD222" s="1083"/>
      <c r="AE222" s="1083"/>
      <c r="AF222" s="1083"/>
      <c r="AG222" s="1083"/>
      <c r="AH222" s="1083"/>
      <c r="AI222" s="1083"/>
      <c r="AJ222" s="1083"/>
      <c r="AK222" s="1083"/>
    </row>
    <row r="223" spans="1:37" x14ac:dyDescent="0.35">
      <c r="A223" s="484"/>
      <c r="B223" s="484"/>
      <c r="C223" s="484"/>
      <c r="D223" s="484"/>
      <c r="E223" s="484"/>
      <c r="F223" s="1277"/>
      <c r="G223" s="484"/>
      <c r="H223" s="484"/>
      <c r="I223" s="484"/>
      <c r="J223" s="484"/>
      <c r="K223" s="484"/>
      <c r="L223" s="484"/>
      <c r="M223" s="484"/>
      <c r="N223" s="484"/>
      <c r="O223" s="484"/>
      <c r="P223" s="484"/>
      <c r="Q223" s="484"/>
      <c r="R223" s="484"/>
      <c r="S223" s="484"/>
      <c r="T223" s="1083"/>
      <c r="U223" s="1311"/>
      <c r="V223" s="1083"/>
      <c r="W223" s="1083"/>
      <c r="X223" s="1083"/>
      <c r="Y223" s="1083"/>
      <c r="Z223" s="1083"/>
      <c r="AA223" s="1083"/>
      <c r="AB223" s="1083"/>
      <c r="AC223" s="1083"/>
      <c r="AD223" s="1083"/>
      <c r="AE223" s="1083"/>
      <c r="AF223" s="1083"/>
      <c r="AG223" s="1083"/>
      <c r="AH223" s="1083"/>
      <c r="AI223" s="1083"/>
      <c r="AJ223" s="1083"/>
      <c r="AK223" s="1083"/>
    </row>
    <row r="224" spans="1:37" x14ac:dyDescent="0.35">
      <c r="A224" s="484"/>
      <c r="B224" s="484"/>
      <c r="C224" s="484"/>
      <c r="D224" s="484"/>
      <c r="E224" s="484"/>
      <c r="F224" s="1277"/>
      <c r="G224" s="484"/>
      <c r="H224" s="484"/>
      <c r="I224" s="484"/>
      <c r="J224" s="484"/>
      <c r="K224" s="484"/>
      <c r="L224" s="484"/>
      <c r="M224" s="484"/>
      <c r="N224" s="484"/>
      <c r="O224" s="484"/>
      <c r="P224" s="484"/>
      <c r="Q224" s="484"/>
      <c r="R224" s="484"/>
      <c r="S224" s="484"/>
      <c r="T224" s="1083"/>
      <c r="U224" s="1311"/>
      <c r="V224" s="1083"/>
      <c r="W224" s="1083"/>
      <c r="X224" s="1083"/>
      <c r="Y224" s="1083"/>
      <c r="Z224" s="1083"/>
      <c r="AA224" s="1083"/>
      <c r="AB224" s="1083"/>
      <c r="AC224" s="1083"/>
      <c r="AD224" s="1083"/>
      <c r="AE224" s="1083"/>
      <c r="AF224" s="1083"/>
      <c r="AG224" s="1083"/>
      <c r="AH224" s="1083"/>
      <c r="AI224" s="1083"/>
      <c r="AJ224" s="1083"/>
      <c r="AK224" s="1083"/>
    </row>
    <row r="225" spans="1:37" x14ac:dyDescent="0.35">
      <c r="A225" s="484"/>
      <c r="B225" s="484"/>
      <c r="C225" s="484"/>
      <c r="D225" s="484"/>
      <c r="E225" s="484"/>
      <c r="F225" s="1277"/>
      <c r="G225" s="484"/>
      <c r="H225" s="484"/>
      <c r="I225" s="484"/>
      <c r="J225" s="484"/>
      <c r="K225" s="484"/>
      <c r="L225" s="484"/>
      <c r="M225" s="484"/>
      <c r="N225" s="484"/>
      <c r="O225" s="484"/>
      <c r="P225" s="484"/>
      <c r="Q225" s="484"/>
      <c r="R225" s="484"/>
      <c r="S225" s="484"/>
      <c r="T225" s="1083"/>
      <c r="U225" s="1311"/>
      <c r="V225" s="1083"/>
      <c r="W225" s="1083"/>
      <c r="X225" s="1083"/>
      <c r="Y225" s="1083"/>
      <c r="Z225" s="1083"/>
      <c r="AA225" s="1083"/>
      <c r="AB225" s="1083"/>
      <c r="AC225" s="1083"/>
      <c r="AD225" s="1083"/>
      <c r="AE225" s="1083"/>
      <c r="AF225" s="1083"/>
      <c r="AG225" s="1083"/>
      <c r="AH225" s="1083"/>
      <c r="AI225" s="1083"/>
      <c r="AJ225" s="1083"/>
      <c r="AK225" s="1083"/>
    </row>
    <row r="226" spans="1:37" x14ac:dyDescent="0.35">
      <c r="A226" s="484"/>
      <c r="B226" s="484"/>
      <c r="C226" s="484"/>
      <c r="D226" s="484"/>
      <c r="E226" s="484"/>
      <c r="F226" s="1277"/>
      <c r="G226" s="484"/>
      <c r="H226" s="484"/>
      <c r="I226" s="484"/>
      <c r="J226" s="484"/>
      <c r="K226" s="484"/>
      <c r="L226" s="484"/>
      <c r="M226" s="484"/>
      <c r="N226" s="484"/>
      <c r="O226" s="484"/>
      <c r="P226" s="484"/>
      <c r="Q226" s="484"/>
      <c r="R226" s="484"/>
      <c r="S226" s="484"/>
      <c r="T226" s="1083"/>
      <c r="U226" s="1311"/>
      <c r="V226" s="1083"/>
      <c r="W226" s="1083"/>
      <c r="X226" s="1083"/>
      <c r="Y226" s="1083"/>
      <c r="Z226" s="1083"/>
      <c r="AA226" s="1083"/>
      <c r="AB226" s="1083"/>
      <c r="AC226" s="1083"/>
      <c r="AD226" s="1083"/>
      <c r="AE226" s="1083"/>
      <c r="AF226" s="1083"/>
      <c r="AG226" s="1083"/>
      <c r="AH226" s="1083"/>
      <c r="AI226" s="1083"/>
      <c r="AJ226" s="1083"/>
      <c r="AK226" s="1083"/>
    </row>
    <row r="227" spans="1:37" x14ac:dyDescent="0.35">
      <c r="A227" s="484"/>
      <c r="B227" s="484"/>
      <c r="C227" s="484"/>
      <c r="D227" s="484"/>
      <c r="E227" s="484"/>
      <c r="F227" s="1277"/>
      <c r="G227" s="484"/>
      <c r="H227" s="484"/>
      <c r="I227" s="484"/>
      <c r="J227" s="484"/>
      <c r="K227" s="484"/>
      <c r="L227" s="484"/>
      <c r="M227" s="484"/>
      <c r="N227" s="484"/>
      <c r="O227" s="484"/>
      <c r="P227" s="484"/>
      <c r="Q227" s="484"/>
      <c r="R227" s="484"/>
      <c r="S227" s="484"/>
      <c r="T227" s="1083"/>
      <c r="U227" s="1311"/>
      <c r="V227" s="1083"/>
      <c r="W227" s="1083"/>
      <c r="X227" s="1083"/>
      <c r="Y227" s="1083"/>
      <c r="Z227" s="1083"/>
      <c r="AA227" s="1083"/>
      <c r="AB227" s="1083"/>
      <c r="AC227" s="1083"/>
      <c r="AD227" s="1083"/>
      <c r="AE227" s="1083"/>
      <c r="AF227" s="1083"/>
      <c r="AG227" s="1083"/>
      <c r="AH227" s="1083"/>
      <c r="AI227" s="1083"/>
      <c r="AJ227" s="1083"/>
      <c r="AK227" s="1083"/>
    </row>
    <row r="228" spans="1:37" x14ac:dyDescent="0.35">
      <c r="A228" s="484"/>
      <c r="B228" s="484"/>
      <c r="C228" s="484"/>
      <c r="D228" s="484"/>
      <c r="E228" s="484"/>
      <c r="F228" s="1277"/>
      <c r="G228" s="484"/>
      <c r="H228" s="484"/>
      <c r="I228" s="484"/>
      <c r="J228" s="484"/>
      <c r="K228" s="484"/>
      <c r="L228" s="484"/>
      <c r="M228" s="484"/>
      <c r="N228" s="484"/>
      <c r="O228" s="484"/>
      <c r="P228" s="484"/>
      <c r="Q228" s="484"/>
      <c r="R228" s="484"/>
      <c r="S228" s="484"/>
      <c r="T228" s="1083"/>
      <c r="U228" s="1311"/>
      <c r="V228" s="1083"/>
      <c r="W228" s="1083"/>
      <c r="X228" s="1083"/>
      <c r="Y228" s="1083"/>
      <c r="Z228" s="1083"/>
      <c r="AA228" s="1083"/>
      <c r="AB228" s="1083"/>
      <c r="AC228" s="1083"/>
      <c r="AD228" s="1083"/>
      <c r="AE228" s="1083"/>
      <c r="AF228" s="1083"/>
      <c r="AG228" s="1083"/>
      <c r="AH228" s="1083"/>
      <c r="AI228" s="1083"/>
      <c r="AJ228" s="1083"/>
      <c r="AK228" s="1083"/>
    </row>
    <row r="229" spans="1:37" x14ac:dyDescent="0.35">
      <c r="A229" s="484"/>
      <c r="B229" s="484"/>
      <c r="C229" s="484"/>
      <c r="D229" s="484"/>
      <c r="E229" s="484"/>
      <c r="F229" s="1277"/>
      <c r="G229" s="484"/>
      <c r="H229" s="484"/>
      <c r="I229" s="484"/>
      <c r="J229" s="484"/>
      <c r="K229" s="484"/>
      <c r="L229" s="484"/>
      <c r="M229" s="484"/>
      <c r="N229" s="484"/>
      <c r="O229" s="484"/>
      <c r="P229" s="484"/>
      <c r="Q229" s="484"/>
      <c r="R229" s="484"/>
      <c r="S229" s="484"/>
      <c r="T229" s="1083"/>
      <c r="U229" s="1311"/>
      <c r="V229" s="1083"/>
      <c r="W229" s="1083"/>
      <c r="X229" s="1083"/>
      <c r="Y229" s="1083"/>
      <c r="Z229" s="1083"/>
      <c r="AA229" s="1083"/>
      <c r="AB229" s="1083"/>
      <c r="AC229" s="1083"/>
      <c r="AD229" s="1083"/>
      <c r="AE229" s="1083"/>
      <c r="AF229" s="1083"/>
      <c r="AG229" s="1083"/>
      <c r="AH229" s="1083"/>
      <c r="AI229" s="1083"/>
      <c r="AJ229" s="1083"/>
      <c r="AK229" s="1083"/>
    </row>
    <row r="230" spans="1:37" x14ac:dyDescent="0.35">
      <c r="A230" s="484"/>
      <c r="B230" s="484"/>
      <c r="C230" s="484"/>
      <c r="D230" s="484"/>
      <c r="E230" s="484"/>
      <c r="F230" s="1277"/>
      <c r="G230" s="484"/>
      <c r="H230" s="484"/>
      <c r="I230" s="484"/>
      <c r="J230" s="484"/>
      <c r="K230" s="484"/>
      <c r="L230" s="484"/>
      <c r="M230" s="484"/>
      <c r="N230" s="484"/>
      <c r="O230" s="484"/>
      <c r="P230" s="484"/>
      <c r="Q230" s="484"/>
      <c r="R230" s="484"/>
      <c r="S230" s="484"/>
      <c r="T230" s="1083"/>
      <c r="U230" s="1311"/>
      <c r="V230" s="1083"/>
      <c r="W230" s="1083"/>
      <c r="X230" s="1083"/>
      <c r="Y230" s="1083"/>
      <c r="Z230" s="1083"/>
      <c r="AA230" s="1083"/>
      <c r="AB230" s="1083"/>
      <c r="AC230" s="1083"/>
      <c r="AD230" s="1083"/>
      <c r="AE230" s="1083"/>
      <c r="AF230" s="1083"/>
      <c r="AG230" s="1083"/>
      <c r="AH230" s="1083"/>
      <c r="AI230" s="1083"/>
      <c r="AJ230" s="1083"/>
      <c r="AK230" s="1083"/>
    </row>
    <row r="231" spans="1:37" x14ac:dyDescent="0.35">
      <c r="A231" s="484"/>
      <c r="B231" s="484"/>
      <c r="C231" s="484"/>
      <c r="D231" s="484"/>
      <c r="E231" s="484"/>
      <c r="F231" s="1277"/>
      <c r="G231" s="484"/>
      <c r="H231" s="484"/>
      <c r="I231" s="484"/>
      <c r="J231" s="484"/>
      <c r="K231" s="484"/>
      <c r="L231" s="484"/>
      <c r="M231" s="484"/>
      <c r="N231" s="484"/>
      <c r="O231" s="484"/>
      <c r="P231" s="484"/>
      <c r="Q231" s="484"/>
      <c r="R231" s="484"/>
      <c r="S231" s="484"/>
      <c r="T231" s="1083"/>
      <c r="U231" s="1311"/>
      <c r="V231" s="1083"/>
      <c r="W231" s="1083"/>
      <c r="X231" s="1083"/>
      <c r="Y231" s="1083"/>
      <c r="Z231" s="1083"/>
      <c r="AA231" s="1083"/>
      <c r="AB231" s="1083"/>
      <c r="AC231" s="1083"/>
      <c r="AD231" s="1083"/>
      <c r="AE231" s="1083"/>
      <c r="AF231" s="1083"/>
      <c r="AG231" s="1083"/>
      <c r="AH231" s="1083"/>
      <c r="AI231" s="1083"/>
      <c r="AJ231" s="1083"/>
      <c r="AK231" s="1083"/>
    </row>
    <row r="232" spans="1:37" x14ac:dyDescent="0.35">
      <c r="A232" s="484"/>
      <c r="B232" s="484"/>
      <c r="C232" s="484"/>
      <c r="D232" s="484"/>
      <c r="E232" s="484"/>
      <c r="F232" s="1277"/>
      <c r="G232" s="484"/>
      <c r="H232" s="484"/>
      <c r="I232" s="484"/>
      <c r="J232" s="484"/>
      <c r="K232" s="484"/>
      <c r="L232" s="484"/>
      <c r="M232" s="484"/>
      <c r="N232" s="484"/>
      <c r="O232" s="484"/>
      <c r="P232" s="484"/>
      <c r="Q232" s="484"/>
      <c r="R232" s="484"/>
      <c r="S232" s="484"/>
      <c r="T232" s="1083"/>
      <c r="U232" s="1311"/>
      <c r="V232" s="1083"/>
      <c r="W232" s="1083"/>
      <c r="X232" s="1083"/>
      <c r="Y232" s="1083"/>
      <c r="Z232" s="1083"/>
      <c r="AA232" s="1083"/>
      <c r="AB232" s="1083"/>
      <c r="AC232" s="1083"/>
      <c r="AD232" s="1083"/>
      <c r="AE232" s="1083"/>
      <c r="AF232" s="1083"/>
      <c r="AG232" s="1083"/>
      <c r="AH232" s="1083"/>
      <c r="AI232" s="1083"/>
      <c r="AJ232" s="1083"/>
      <c r="AK232" s="1083"/>
    </row>
    <row r="233" spans="1:37" x14ac:dyDescent="0.35">
      <c r="A233" s="484"/>
      <c r="B233" s="484"/>
      <c r="C233" s="484"/>
      <c r="D233" s="484"/>
      <c r="E233" s="484"/>
      <c r="F233" s="1277"/>
      <c r="G233" s="484"/>
      <c r="H233" s="484"/>
      <c r="I233" s="484"/>
      <c r="J233" s="484"/>
      <c r="K233" s="484"/>
      <c r="L233" s="484"/>
      <c r="M233" s="484"/>
      <c r="N233" s="484"/>
      <c r="O233" s="484"/>
      <c r="P233" s="484"/>
      <c r="Q233" s="484"/>
      <c r="R233" s="484"/>
      <c r="S233" s="484"/>
      <c r="T233" s="1083"/>
      <c r="U233" s="1311"/>
      <c r="V233" s="1083"/>
      <c r="W233" s="1083"/>
      <c r="X233" s="1083"/>
      <c r="Y233" s="1083"/>
      <c r="Z233" s="1083"/>
      <c r="AA233" s="1083"/>
      <c r="AB233" s="1083"/>
      <c r="AC233" s="1083"/>
      <c r="AD233" s="1083"/>
      <c r="AE233" s="1083"/>
      <c r="AF233" s="1083"/>
      <c r="AG233" s="1083"/>
      <c r="AH233" s="1083"/>
      <c r="AI233" s="1083"/>
      <c r="AJ233" s="1083"/>
      <c r="AK233" s="1083"/>
    </row>
    <row r="234" spans="1:37" x14ac:dyDescent="0.35">
      <c r="A234" s="484"/>
      <c r="B234" s="484"/>
      <c r="C234" s="484"/>
      <c r="D234" s="484"/>
      <c r="E234" s="484"/>
      <c r="F234" s="1277"/>
      <c r="G234" s="484"/>
      <c r="H234" s="484"/>
      <c r="I234" s="484"/>
      <c r="J234" s="484"/>
      <c r="K234" s="484"/>
      <c r="L234" s="484"/>
      <c r="M234" s="484"/>
      <c r="N234" s="484"/>
      <c r="O234" s="484"/>
      <c r="P234" s="484"/>
      <c r="Q234" s="484"/>
      <c r="R234" s="484"/>
      <c r="S234" s="484"/>
      <c r="T234" s="1083"/>
      <c r="U234" s="1311"/>
      <c r="V234" s="1083"/>
      <c r="W234" s="1083"/>
      <c r="X234" s="1083"/>
      <c r="Y234" s="1083"/>
      <c r="Z234" s="1083"/>
      <c r="AA234" s="1083"/>
      <c r="AB234" s="1083"/>
      <c r="AC234" s="1083"/>
      <c r="AD234" s="1083"/>
      <c r="AE234" s="1083"/>
      <c r="AF234" s="1083"/>
      <c r="AG234" s="1083"/>
      <c r="AH234" s="1083"/>
      <c r="AI234" s="1083"/>
      <c r="AJ234" s="1083"/>
      <c r="AK234" s="1083"/>
    </row>
    <row r="235" spans="1:37" x14ac:dyDescent="0.35">
      <c r="A235" s="484"/>
      <c r="B235" s="484"/>
      <c r="C235" s="484"/>
      <c r="D235" s="484"/>
      <c r="E235" s="484"/>
      <c r="F235" s="1277"/>
      <c r="G235" s="484"/>
      <c r="H235" s="484"/>
      <c r="I235" s="484"/>
      <c r="J235" s="484"/>
      <c r="K235" s="484"/>
      <c r="L235" s="484"/>
      <c r="M235" s="484"/>
      <c r="N235" s="484"/>
      <c r="O235" s="484"/>
      <c r="P235" s="484"/>
      <c r="Q235" s="484"/>
      <c r="R235" s="484"/>
      <c r="S235" s="484"/>
      <c r="T235" s="1083"/>
      <c r="U235" s="1311"/>
      <c r="V235" s="1083"/>
      <c r="W235" s="1083"/>
      <c r="X235" s="1083"/>
      <c r="Y235" s="1083"/>
      <c r="Z235" s="1083"/>
      <c r="AA235" s="1083"/>
      <c r="AB235" s="1083"/>
      <c r="AC235" s="1083"/>
      <c r="AD235" s="1083"/>
      <c r="AE235" s="1083"/>
      <c r="AF235" s="1083"/>
      <c r="AG235" s="1083"/>
      <c r="AH235" s="1083"/>
      <c r="AI235" s="1083"/>
      <c r="AJ235" s="1083"/>
      <c r="AK235" s="1083"/>
    </row>
    <row r="236" spans="1:37" x14ac:dyDescent="0.35">
      <c r="A236" s="484"/>
      <c r="B236" s="484"/>
      <c r="C236" s="484"/>
      <c r="D236" s="484"/>
      <c r="E236" s="484"/>
      <c r="F236" s="1277"/>
      <c r="G236" s="484"/>
      <c r="H236" s="484"/>
      <c r="I236" s="484"/>
      <c r="J236" s="484"/>
      <c r="K236" s="484"/>
      <c r="L236" s="484"/>
      <c r="M236" s="484"/>
      <c r="N236" s="484"/>
      <c r="O236" s="484"/>
      <c r="P236" s="484"/>
      <c r="Q236" s="484"/>
      <c r="R236" s="484"/>
      <c r="S236" s="484"/>
      <c r="T236" s="1083"/>
      <c r="U236" s="1311"/>
      <c r="V236" s="1083"/>
      <c r="W236" s="1083"/>
      <c r="X236" s="1083"/>
      <c r="Y236" s="1083"/>
      <c r="Z236" s="1083"/>
      <c r="AA236" s="1083"/>
      <c r="AB236" s="1083"/>
      <c r="AC236" s="1083"/>
      <c r="AD236" s="1083"/>
      <c r="AE236" s="1083"/>
      <c r="AF236" s="1083"/>
      <c r="AG236" s="1083"/>
      <c r="AH236" s="1083"/>
      <c r="AI236" s="1083"/>
      <c r="AJ236" s="1083"/>
      <c r="AK236" s="1083"/>
    </row>
    <row r="237" spans="1:37" x14ac:dyDescent="0.35">
      <c r="A237" s="484"/>
      <c r="B237" s="484"/>
      <c r="C237" s="484"/>
      <c r="D237" s="484"/>
      <c r="E237" s="484"/>
      <c r="F237" s="1277"/>
      <c r="G237" s="484"/>
      <c r="H237" s="484"/>
      <c r="I237" s="484"/>
      <c r="J237" s="484"/>
      <c r="K237" s="484"/>
      <c r="L237" s="484"/>
      <c r="M237" s="484"/>
      <c r="N237" s="484"/>
      <c r="O237" s="484"/>
      <c r="P237" s="484"/>
      <c r="Q237" s="484"/>
      <c r="R237" s="484"/>
      <c r="S237" s="484"/>
      <c r="T237" s="1083"/>
      <c r="U237" s="1311"/>
      <c r="V237" s="1083"/>
      <c r="W237" s="1083"/>
      <c r="X237" s="1083"/>
      <c r="Y237" s="1083"/>
      <c r="Z237" s="1083"/>
      <c r="AA237" s="1083"/>
      <c r="AB237" s="1083"/>
      <c r="AC237" s="1083"/>
      <c r="AD237" s="1083"/>
      <c r="AE237" s="1083"/>
      <c r="AF237" s="1083"/>
      <c r="AG237" s="1083"/>
      <c r="AH237" s="1083"/>
      <c r="AI237" s="1083"/>
      <c r="AJ237" s="1083"/>
      <c r="AK237" s="1083"/>
    </row>
    <row r="238" spans="1:37" x14ac:dyDescent="0.35">
      <c r="A238" s="484"/>
      <c r="B238" s="484"/>
      <c r="C238" s="484"/>
      <c r="D238" s="484"/>
      <c r="E238" s="484"/>
      <c r="F238" s="1277"/>
      <c r="G238" s="484"/>
      <c r="H238" s="484"/>
      <c r="I238" s="484"/>
      <c r="J238" s="484"/>
      <c r="K238" s="484"/>
      <c r="L238" s="484"/>
      <c r="M238" s="484"/>
      <c r="N238" s="484"/>
      <c r="O238" s="484"/>
      <c r="P238" s="484"/>
      <c r="Q238" s="484"/>
      <c r="R238" s="484"/>
      <c r="S238" s="484"/>
      <c r="T238" s="1083"/>
      <c r="U238" s="1311"/>
      <c r="V238" s="1083"/>
      <c r="W238" s="1083"/>
      <c r="X238" s="1083"/>
      <c r="Y238" s="1083"/>
      <c r="Z238" s="1083"/>
      <c r="AA238" s="1083"/>
      <c r="AB238" s="1083"/>
      <c r="AC238" s="1083"/>
      <c r="AD238" s="1083"/>
      <c r="AE238" s="1083"/>
      <c r="AF238" s="1083"/>
      <c r="AG238" s="1083"/>
      <c r="AH238" s="1083"/>
      <c r="AI238" s="1083"/>
      <c r="AJ238" s="1083"/>
      <c r="AK238" s="1083"/>
    </row>
    <row r="239" spans="1:37" x14ac:dyDescent="0.35">
      <c r="A239" s="484"/>
      <c r="B239" s="484"/>
      <c r="C239" s="484"/>
      <c r="D239" s="484"/>
      <c r="E239" s="484"/>
      <c r="F239" s="1277"/>
      <c r="G239" s="484"/>
      <c r="H239" s="484"/>
      <c r="I239" s="484"/>
      <c r="J239" s="484"/>
      <c r="K239" s="484"/>
      <c r="L239" s="484"/>
      <c r="M239" s="484"/>
      <c r="N239" s="484"/>
      <c r="O239" s="484"/>
      <c r="P239" s="484"/>
      <c r="Q239" s="484"/>
      <c r="R239" s="484"/>
      <c r="S239" s="484"/>
      <c r="T239" s="1083"/>
      <c r="U239" s="1311"/>
      <c r="V239" s="1083"/>
      <c r="W239" s="1083"/>
      <c r="X239" s="1083"/>
      <c r="Y239" s="1083"/>
      <c r="Z239" s="1083"/>
      <c r="AA239" s="1083"/>
      <c r="AB239" s="1083"/>
      <c r="AC239" s="1083"/>
      <c r="AD239" s="1083"/>
      <c r="AE239" s="1083"/>
      <c r="AF239" s="1083"/>
      <c r="AG239" s="1083"/>
      <c r="AH239" s="1083"/>
      <c r="AI239" s="1083"/>
      <c r="AJ239" s="1083"/>
      <c r="AK239" s="1083"/>
    </row>
    <row r="240" spans="1:37" x14ac:dyDescent="0.35">
      <c r="A240" s="484"/>
      <c r="B240" s="484"/>
      <c r="C240" s="484"/>
      <c r="D240" s="484"/>
      <c r="E240" s="484"/>
      <c r="F240" s="1277"/>
      <c r="G240" s="484"/>
      <c r="H240" s="484"/>
      <c r="I240" s="484"/>
      <c r="J240" s="484"/>
      <c r="K240" s="484"/>
      <c r="L240" s="484"/>
      <c r="M240" s="484"/>
      <c r="N240" s="484"/>
      <c r="O240" s="484"/>
      <c r="P240" s="484"/>
      <c r="Q240" s="484"/>
      <c r="R240" s="484"/>
      <c r="S240" s="484"/>
      <c r="T240" s="1083"/>
      <c r="U240" s="1311"/>
      <c r="V240" s="1083"/>
      <c r="W240" s="1083"/>
      <c r="X240" s="1083"/>
      <c r="Y240" s="1083"/>
      <c r="Z240" s="1083"/>
      <c r="AA240" s="1083"/>
      <c r="AB240" s="1083"/>
      <c r="AC240" s="1083"/>
      <c r="AD240" s="1083"/>
      <c r="AE240" s="1083"/>
      <c r="AF240" s="1083"/>
      <c r="AG240" s="1083"/>
      <c r="AH240" s="1083"/>
      <c r="AI240" s="1083"/>
      <c r="AJ240" s="1083"/>
      <c r="AK240" s="1083"/>
    </row>
    <row r="241" spans="1:37" x14ac:dyDescent="0.35">
      <c r="A241" s="484"/>
      <c r="B241" s="484"/>
      <c r="C241" s="484"/>
      <c r="D241" s="484"/>
      <c r="E241" s="484"/>
      <c r="F241" s="1277"/>
      <c r="G241" s="484"/>
      <c r="H241" s="484"/>
      <c r="I241" s="484"/>
      <c r="J241" s="484"/>
      <c r="K241" s="484"/>
      <c r="L241" s="484"/>
      <c r="M241" s="484"/>
      <c r="N241" s="484"/>
      <c r="O241" s="484"/>
      <c r="P241" s="484"/>
      <c r="Q241" s="484"/>
      <c r="R241" s="484"/>
      <c r="S241" s="484"/>
      <c r="T241" s="1083"/>
      <c r="U241" s="1311"/>
      <c r="V241" s="1083"/>
      <c r="W241" s="1083"/>
      <c r="X241" s="1083"/>
      <c r="Y241" s="1083"/>
      <c r="Z241" s="1083"/>
      <c r="AA241" s="1083"/>
      <c r="AB241" s="1083"/>
      <c r="AC241" s="1083"/>
      <c r="AD241" s="1083"/>
      <c r="AE241" s="1083"/>
      <c r="AF241" s="1083"/>
      <c r="AG241" s="1083"/>
      <c r="AH241" s="1083"/>
      <c r="AI241" s="1083"/>
      <c r="AJ241" s="1083"/>
      <c r="AK241" s="1083"/>
    </row>
    <row r="242" spans="1:37" x14ac:dyDescent="0.35">
      <c r="A242" s="484"/>
      <c r="B242" s="484"/>
      <c r="C242" s="484"/>
      <c r="D242" s="484"/>
      <c r="E242" s="484"/>
      <c r="F242" s="1277"/>
      <c r="G242" s="484"/>
      <c r="H242" s="484"/>
      <c r="I242" s="484"/>
      <c r="J242" s="484"/>
      <c r="K242" s="484"/>
      <c r="L242" s="484"/>
      <c r="M242" s="484"/>
      <c r="N242" s="484"/>
      <c r="O242" s="484"/>
      <c r="P242" s="484"/>
      <c r="Q242" s="484"/>
      <c r="R242" s="484"/>
      <c r="S242" s="484"/>
      <c r="T242" s="1083"/>
      <c r="U242" s="1311"/>
      <c r="V242" s="1083"/>
      <c r="W242" s="1083"/>
      <c r="X242" s="1083"/>
      <c r="Y242" s="1083"/>
      <c r="Z242" s="1083"/>
      <c r="AA242" s="1083"/>
      <c r="AB242" s="1083"/>
      <c r="AC242" s="1083"/>
      <c r="AD242" s="1083"/>
      <c r="AE242" s="1083"/>
      <c r="AF242" s="1083"/>
      <c r="AG242" s="1083"/>
      <c r="AH242" s="1083"/>
      <c r="AI242" s="1083"/>
      <c r="AJ242" s="1083"/>
      <c r="AK242" s="1083"/>
    </row>
    <row r="243" spans="1:37" x14ac:dyDescent="0.35">
      <c r="A243" s="484"/>
      <c r="B243" s="484"/>
      <c r="C243" s="484"/>
      <c r="D243" s="484"/>
      <c r="E243" s="484"/>
      <c r="F243" s="1277"/>
      <c r="G243" s="484"/>
      <c r="H243" s="484"/>
      <c r="I243" s="484"/>
      <c r="J243" s="484"/>
      <c r="K243" s="484"/>
      <c r="L243" s="484"/>
      <c r="M243" s="484"/>
      <c r="N243" s="484"/>
      <c r="O243" s="484"/>
      <c r="P243" s="484"/>
      <c r="Q243" s="484"/>
      <c r="R243" s="484"/>
      <c r="S243" s="484"/>
      <c r="T243" s="1083"/>
      <c r="U243" s="1311"/>
      <c r="V243" s="1083"/>
      <c r="W243" s="1083"/>
      <c r="X243" s="1083"/>
      <c r="Y243" s="1083"/>
      <c r="Z243" s="1083"/>
      <c r="AA243" s="1083"/>
      <c r="AB243" s="1083"/>
      <c r="AC243" s="1083"/>
      <c r="AD243" s="1083"/>
      <c r="AE243" s="1083"/>
      <c r="AF243" s="1083"/>
      <c r="AG243" s="1083"/>
      <c r="AH243" s="1083"/>
      <c r="AI243" s="1083"/>
      <c r="AJ243" s="1083"/>
      <c r="AK243" s="1083"/>
    </row>
    <row r="244" spans="1:37" x14ac:dyDescent="0.35">
      <c r="A244" s="484"/>
      <c r="B244" s="484"/>
      <c r="C244" s="484"/>
      <c r="D244" s="484"/>
      <c r="E244" s="484"/>
      <c r="F244" s="1277"/>
      <c r="G244" s="484"/>
      <c r="H244" s="484"/>
      <c r="I244" s="484"/>
      <c r="J244" s="484"/>
      <c r="K244" s="484"/>
      <c r="L244" s="484"/>
      <c r="M244" s="484"/>
      <c r="N244" s="484"/>
      <c r="O244" s="484"/>
      <c r="P244" s="484"/>
      <c r="Q244" s="484"/>
      <c r="R244" s="484"/>
      <c r="S244" s="484"/>
      <c r="T244" s="1083"/>
      <c r="U244" s="1311"/>
      <c r="V244" s="1083"/>
      <c r="W244" s="1083"/>
      <c r="X244" s="1083"/>
      <c r="Y244" s="1083"/>
      <c r="Z244" s="1083"/>
      <c r="AA244" s="1083"/>
      <c r="AB244" s="1083"/>
      <c r="AC244" s="1083"/>
      <c r="AD244" s="1083"/>
      <c r="AE244" s="1083"/>
      <c r="AF244" s="1083"/>
      <c r="AG244" s="1083"/>
      <c r="AH244" s="1083"/>
      <c r="AI244" s="1083"/>
      <c r="AJ244" s="1083"/>
      <c r="AK244" s="1083"/>
    </row>
    <row r="245" spans="1:37" x14ac:dyDescent="0.35">
      <c r="A245" s="484"/>
      <c r="B245" s="484"/>
      <c r="C245" s="484"/>
      <c r="D245" s="484"/>
      <c r="E245" s="484"/>
      <c r="F245" s="1277"/>
      <c r="G245" s="484"/>
      <c r="H245" s="484"/>
      <c r="I245" s="484"/>
      <c r="J245" s="484"/>
      <c r="K245" s="484"/>
      <c r="L245" s="484"/>
      <c r="M245" s="484"/>
      <c r="N245" s="484"/>
      <c r="O245" s="484"/>
      <c r="P245" s="484"/>
      <c r="Q245" s="484"/>
      <c r="R245" s="484"/>
      <c r="S245" s="484"/>
      <c r="T245" s="1083"/>
      <c r="U245" s="1311"/>
      <c r="V245" s="1083"/>
      <c r="W245" s="1083"/>
      <c r="X245" s="1083"/>
      <c r="Y245" s="1083"/>
      <c r="Z245" s="1083"/>
      <c r="AA245" s="1083"/>
      <c r="AB245" s="1083"/>
      <c r="AC245" s="1083"/>
      <c r="AD245" s="1083"/>
      <c r="AE245" s="1083"/>
      <c r="AF245" s="1083"/>
      <c r="AG245" s="1083"/>
      <c r="AH245" s="1083"/>
      <c r="AI245" s="1083"/>
      <c r="AJ245" s="1083"/>
      <c r="AK245" s="1083"/>
    </row>
    <row r="246" spans="1:37" x14ac:dyDescent="0.35">
      <c r="A246" s="484"/>
      <c r="B246" s="484"/>
      <c r="C246" s="484"/>
      <c r="D246" s="484"/>
      <c r="E246" s="484"/>
      <c r="F246" s="1277"/>
      <c r="G246" s="484"/>
      <c r="H246" s="484"/>
      <c r="I246" s="484"/>
      <c r="J246" s="484"/>
      <c r="K246" s="484"/>
      <c r="L246" s="484"/>
      <c r="M246" s="484"/>
      <c r="N246" s="484"/>
      <c r="O246" s="484"/>
      <c r="P246" s="484"/>
      <c r="Q246" s="484"/>
      <c r="R246" s="484"/>
      <c r="S246" s="484"/>
      <c r="T246" s="1083"/>
      <c r="U246" s="1311"/>
      <c r="V246" s="1083"/>
      <c r="W246" s="1083"/>
      <c r="X246" s="1083"/>
      <c r="Y246" s="1083"/>
      <c r="Z246" s="1083"/>
      <c r="AA246" s="1083"/>
      <c r="AB246" s="1083"/>
      <c r="AC246" s="1083"/>
      <c r="AD246" s="1083"/>
      <c r="AE246" s="1083"/>
      <c r="AF246" s="1083"/>
      <c r="AG246" s="1083"/>
      <c r="AH246" s="1083"/>
      <c r="AI246" s="1083"/>
      <c r="AJ246" s="1083"/>
      <c r="AK246" s="1083"/>
    </row>
    <row r="247" spans="1:37" x14ac:dyDescent="0.35">
      <c r="A247" s="484"/>
      <c r="B247" s="484"/>
      <c r="C247" s="484"/>
      <c r="D247" s="484"/>
      <c r="E247" s="484"/>
      <c r="F247" s="1277"/>
      <c r="G247" s="484"/>
      <c r="H247" s="484"/>
      <c r="I247" s="484"/>
      <c r="J247" s="484"/>
      <c r="K247" s="484"/>
      <c r="L247" s="484"/>
      <c r="M247" s="484"/>
      <c r="N247" s="484"/>
      <c r="O247" s="484"/>
      <c r="P247" s="484"/>
      <c r="Q247" s="484"/>
      <c r="R247" s="484"/>
      <c r="S247" s="484"/>
      <c r="T247" s="1083"/>
      <c r="U247" s="1311"/>
      <c r="V247" s="1083"/>
      <c r="W247" s="1083"/>
      <c r="X247" s="1083"/>
      <c r="Y247" s="1083"/>
      <c r="Z247" s="1083"/>
      <c r="AA247" s="1083"/>
      <c r="AB247" s="1083"/>
      <c r="AC247" s="1083"/>
      <c r="AD247" s="1083"/>
      <c r="AE247" s="1083"/>
      <c r="AF247" s="1083"/>
      <c r="AG247" s="1083"/>
      <c r="AH247" s="1083"/>
      <c r="AI247" s="1083"/>
      <c r="AJ247" s="1083"/>
      <c r="AK247" s="1083"/>
    </row>
    <row r="248" spans="1:37" x14ac:dyDescent="0.35">
      <c r="A248" s="484"/>
      <c r="B248" s="484"/>
      <c r="C248" s="484"/>
      <c r="D248" s="484"/>
      <c r="E248" s="484"/>
      <c r="F248" s="1277"/>
      <c r="G248" s="484"/>
      <c r="H248" s="484"/>
      <c r="I248" s="484"/>
      <c r="J248" s="484"/>
      <c r="K248" s="484"/>
      <c r="L248" s="484"/>
      <c r="M248" s="484"/>
      <c r="N248" s="484"/>
      <c r="O248" s="484"/>
      <c r="P248" s="484"/>
      <c r="Q248" s="484"/>
      <c r="R248" s="484"/>
      <c r="S248" s="484"/>
      <c r="T248" s="1083"/>
      <c r="U248" s="1311"/>
      <c r="V248" s="1083"/>
      <c r="W248" s="1083"/>
      <c r="X248" s="1083"/>
      <c r="Y248" s="1083"/>
      <c r="Z248" s="1083"/>
      <c r="AA248" s="1083"/>
      <c r="AB248" s="1083"/>
      <c r="AC248" s="1083"/>
      <c r="AD248" s="1083"/>
      <c r="AE248" s="1083"/>
      <c r="AF248" s="1083"/>
      <c r="AG248" s="1083"/>
      <c r="AH248" s="1083"/>
      <c r="AI248" s="1083"/>
      <c r="AJ248" s="1083"/>
      <c r="AK248" s="1083"/>
    </row>
    <row r="249" spans="1:37" x14ac:dyDescent="0.35">
      <c r="A249" s="484"/>
      <c r="B249" s="484"/>
      <c r="C249" s="484"/>
      <c r="D249" s="484"/>
      <c r="E249" s="484"/>
      <c r="F249" s="1277"/>
      <c r="G249" s="484"/>
      <c r="H249" s="484"/>
      <c r="I249" s="484"/>
      <c r="J249" s="484"/>
      <c r="K249" s="484"/>
      <c r="L249" s="484"/>
      <c r="M249" s="484"/>
      <c r="N249" s="484"/>
      <c r="O249" s="484"/>
      <c r="P249" s="484"/>
      <c r="Q249" s="484"/>
      <c r="R249" s="484"/>
      <c r="S249" s="484"/>
      <c r="T249" s="1083"/>
      <c r="U249" s="1311"/>
      <c r="V249" s="1083"/>
      <c r="W249" s="1083"/>
      <c r="X249" s="1083"/>
      <c r="Y249" s="1083"/>
      <c r="Z249" s="1083"/>
      <c r="AA249" s="1083"/>
      <c r="AB249" s="1083"/>
      <c r="AC249" s="1083"/>
      <c r="AD249" s="1083"/>
      <c r="AE249" s="1083"/>
      <c r="AF249" s="1083"/>
      <c r="AG249" s="1083"/>
      <c r="AH249" s="1083"/>
      <c r="AI249" s="1083"/>
      <c r="AJ249" s="1083"/>
      <c r="AK249" s="1083"/>
    </row>
    <row r="250" spans="1:37" x14ac:dyDescent="0.35">
      <c r="A250" s="484"/>
      <c r="B250" s="484"/>
      <c r="C250" s="484"/>
      <c r="D250" s="484"/>
      <c r="E250" s="484"/>
      <c r="F250" s="1277"/>
      <c r="G250" s="484"/>
      <c r="H250" s="484"/>
      <c r="I250" s="484"/>
      <c r="J250" s="484"/>
      <c r="K250" s="484"/>
      <c r="L250" s="484"/>
      <c r="M250" s="484"/>
      <c r="N250" s="484"/>
      <c r="O250" s="484"/>
      <c r="P250" s="484"/>
      <c r="Q250" s="484"/>
      <c r="R250" s="484"/>
      <c r="S250" s="484"/>
      <c r="T250" s="1083"/>
      <c r="U250" s="1311"/>
      <c r="V250" s="1083"/>
      <c r="W250" s="1083"/>
      <c r="X250" s="1083"/>
      <c r="Y250" s="1083"/>
      <c r="Z250" s="1083"/>
      <c r="AA250" s="1083"/>
      <c r="AB250" s="1083"/>
      <c r="AC250" s="1083"/>
      <c r="AD250" s="1083"/>
      <c r="AE250" s="1083"/>
      <c r="AF250" s="1083"/>
      <c r="AG250" s="1083"/>
      <c r="AH250" s="1083"/>
      <c r="AI250" s="1083"/>
      <c r="AJ250" s="1083"/>
      <c r="AK250" s="1083"/>
    </row>
    <row r="251" spans="1:37" x14ac:dyDescent="0.35">
      <c r="A251" s="484"/>
      <c r="B251" s="484"/>
      <c r="C251" s="484"/>
      <c r="D251" s="484"/>
      <c r="E251" s="484"/>
      <c r="F251" s="1277"/>
      <c r="G251" s="484"/>
      <c r="H251" s="484"/>
      <c r="I251" s="484"/>
      <c r="J251" s="484"/>
      <c r="K251" s="484"/>
      <c r="L251" s="484"/>
      <c r="M251" s="484"/>
      <c r="N251" s="484"/>
      <c r="O251" s="484"/>
      <c r="P251" s="484"/>
      <c r="Q251" s="484"/>
      <c r="R251" s="484"/>
      <c r="S251" s="484"/>
      <c r="T251" s="1083"/>
      <c r="U251" s="1311"/>
      <c r="V251" s="1083"/>
      <c r="W251" s="1083"/>
      <c r="X251" s="1083"/>
      <c r="Y251" s="1083"/>
      <c r="Z251" s="1083"/>
      <c r="AA251" s="1083"/>
      <c r="AB251" s="1083"/>
      <c r="AC251" s="1083"/>
      <c r="AD251" s="1083"/>
      <c r="AE251" s="1083"/>
      <c r="AF251" s="1083"/>
      <c r="AG251" s="1083"/>
      <c r="AH251" s="1083"/>
      <c r="AI251" s="1083"/>
      <c r="AJ251" s="1083"/>
      <c r="AK251" s="1083"/>
    </row>
    <row r="252" spans="1:37" x14ac:dyDescent="0.35">
      <c r="A252" s="484"/>
      <c r="B252" s="484"/>
      <c r="C252" s="484"/>
      <c r="D252" s="484"/>
      <c r="E252" s="484"/>
      <c r="F252" s="1277"/>
      <c r="G252" s="484"/>
      <c r="H252" s="484"/>
      <c r="I252" s="484"/>
      <c r="J252" s="484"/>
      <c r="K252" s="484"/>
      <c r="L252" s="484"/>
      <c r="M252" s="484"/>
      <c r="N252" s="484"/>
      <c r="O252" s="484"/>
      <c r="P252" s="484"/>
      <c r="Q252" s="484"/>
      <c r="R252" s="484"/>
      <c r="S252" s="484"/>
      <c r="T252" s="1083"/>
      <c r="U252" s="1311"/>
      <c r="V252" s="1083"/>
      <c r="W252" s="1083"/>
      <c r="X252" s="1083"/>
      <c r="Y252" s="1083"/>
      <c r="Z252" s="1083"/>
      <c r="AA252" s="1083"/>
      <c r="AB252" s="1083"/>
      <c r="AC252" s="1083"/>
      <c r="AD252" s="1083"/>
      <c r="AE252" s="1083"/>
      <c r="AF252" s="1083"/>
      <c r="AG252" s="1083"/>
      <c r="AH252" s="1083"/>
      <c r="AI252" s="1083"/>
      <c r="AJ252" s="1083"/>
      <c r="AK252" s="1083"/>
    </row>
    <row r="253" spans="1:37" x14ac:dyDescent="0.35">
      <c r="A253" s="484"/>
      <c r="B253" s="484"/>
      <c r="C253" s="484"/>
      <c r="D253" s="484"/>
      <c r="E253" s="484"/>
      <c r="F253" s="1277"/>
      <c r="G253" s="484"/>
      <c r="H253" s="484"/>
      <c r="I253" s="484"/>
      <c r="J253" s="484"/>
      <c r="K253" s="484"/>
      <c r="L253" s="484"/>
      <c r="M253" s="484"/>
      <c r="N253" s="484"/>
      <c r="O253" s="484"/>
      <c r="P253" s="484"/>
      <c r="Q253" s="484"/>
      <c r="R253" s="484"/>
      <c r="S253" s="484"/>
      <c r="T253" s="1083"/>
      <c r="U253" s="1311"/>
      <c r="V253" s="1083"/>
      <c r="W253" s="1083"/>
      <c r="X253" s="1083"/>
      <c r="Y253" s="1083"/>
      <c r="Z253" s="1083"/>
      <c r="AA253" s="1083"/>
      <c r="AB253" s="1083"/>
      <c r="AC253" s="1083"/>
      <c r="AD253" s="1083"/>
      <c r="AE253" s="1083"/>
      <c r="AF253" s="1083"/>
      <c r="AG253" s="1083"/>
      <c r="AH253" s="1083"/>
      <c r="AI253" s="1083"/>
      <c r="AJ253" s="1083"/>
      <c r="AK253" s="1083"/>
    </row>
    <row r="254" spans="1:37" x14ac:dyDescent="0.35">
      <c r="A254" s="484"/>
      <c r="B254" s="484"/>
      <c r="C254" s="484"/>
      <c r="D254" s="484"/>
      <c r="E254" s="484"/>
      <c r="F254" s="1277"/>
      <c r="G254" s="484"/>
      <c r="H254" s="484"/>
      <c r="I254" s="484"/>
      <c r="J254" s="484"/>
      <c r="K254" s="484"/>
      <c r="L254" s="484"/>
      <c r="M254" s="484"/>
      <c r="N254" s="484"/>
      <c r="O254" s="484"/>
      <c r="P254" s="484"/>
      <c r="Q254" s="484"/>
      <c r="R254" s="484"/>
      <c r="S254" s="484"/>
      <c r="T254" s="1083"/>
      <c r="U254" s="1311"/>
      <c r="V254" s="1083"/>
      <c r="W254" s="1083"/>
      <c r="X254" s="1083"/>
      <c r="Y254" s="1083"/>
      <c r="Z254" s="1083"/>
      <c r="AA254" s="1083"/>
      <c r="AB254" s="1083"/>
      <c r="AC254" s="1083"/>
      <c r="AD254" s="1083"/>
      <c r="AE254" s="1083"/>
      <c r="AF254" s="1083"/>
      <c r="AG254" s="1083"/>
      <c r="AH254" s="1083"/>
      <c r="AI254" s="1083"/>
      <c r="AJ254" s="1083"/>
      <c r="AK254" s="1083"/>
    </row>
    <row r="255" spans="1:37" x14ac:dyDescent="0.35">
      <c r="A255" s="484"/>
      <c r="B255" s="484"/>
      <c r="C255" s="484"/>
      <c r="D255" s="484"/>
      <c r="E255" s="484"/>
      <c r="F255" s="1277"/>
      <c r="G255" s="484"/>
      <c r="H255" s="484"/>
      <c r="I255" s="484"/>
      <c r="J255" s="484"/>
      <c r="K255" s="484"/>
      <c r="L255" s="484"/>
      <c r="M255" s="484"/>
      <c r="N255" s="484"/>
      <c r="O255" s="484"/>
      <c r="P255" s="484"/>
      <c r="Q255" s="484"/>
      <c r="R255" s="484"/>
      <c r="S255" s="484"/>
      <c r="T255" s="1083"/>
      <c r="U255" s="1311"/>
      <c r="V255" s="1083"/>
      <c r="W255" s="1083"/>
      <c r="X255" s="1083"/>
      <c r="Y255" s="1083"/>
      <c r="Z255" s="1083"/>
      <c r="AA255" s="1083"/>
      <c r="AB255" s="1083"/>
      <c r="AC255" s="1083"/>
      <c r="AD255" s="1083"/>
      <c r="AE255" s="1083"/>
      <c r="AF255" s="1083"/>
      <c r="AG255" s="1083"/>
      <c r="AH255" s="1083"/>
      <c r="AI255" s="1083"/>
      <c r="AJ255" s="1083"/>
      <c r="AK255" s="1083"/>
    </row>
    <row r="256" spans="1:37" x14ac:dyDescent="0.35">
      <c r="A256" s="484"/>
      <c r="B256" s="484"/>
      <c r="C256" s="484"/>
      <c r="D256" s="484"/>
      <c r="E256" s="484"/>
      <c r="F256" s="1277"/>
      <c r="G256" s="484"/>
      <c r="H256" s="484"/>
      <c r="I256" s="484"/>
      <c r="J256" s="484"/>
      <c r="K256" s="484"/>
      <c r="L256" s="484"/>
      <c r="M256" s="484"/>
      <c r="N256" s="484"/>
      <c r="O256" s="484"/>
      <c r="P256" s="484"/>
      <c r="Q256" s="484"/>
      <c r="R256" s="484"/>
      <c r="S256" s="484"/>
      <c r="T256" s="1083"/>
      <c r="U256" s="1311"/>
      <c r="V256" s="1083"/>
      <c r="W256" s="1083"/>
      <c r="X256" s="1083"/>
      <c r="Y256" s="1083"/>
      <c r="Z256" s="1083"/>
      <c r="AA256" s="1083"/>
      <c r="AB256" s="1083"/>
      <c r="AC256" s="1083"/>
      <c r="AD256" s="1083"/>
      <c r="AE256" s="1083"/>
      <c r="AF256" s="1083"/>
      <c r="AG256" s="1083"/>
      <c r="AH256" s="1083"/>
      <c r="AI256" s="1083"/>
      <c r="AJ256" s="1083"/>
      <c r="AK256" s="1083"/>
    </row>
    <row r="257" spans="1:37" x14ac:dyDescent="0.35">
      <c r="A257" s="484"/>
      <c r="B257" s="484"/>
      <c r="C257" s="484"/>
      <c r="D257" s="484"/>
      <c r="E257" s="484"/>
      <c r="F257" s="1277"/>
      <c r="G257" s="484"/>
      <c r="H257" s="484"/>
      <c r="I257" s="484"/>
      <c r="J257" s="484"/>
      <c r="K257" s="484"/>
      <c r="L257" s="484"/>
      <c r="M257" s="484"/>
      <c r="N257" s="484"/>
      <c r="O257" s="484"/>
      <c r="P257" s="484"/>
      <c r="Q257" s="484"/>
      <c r="R257" s="484"/>
      <c r="S257" s="484"/>
      <c r="T257" s="1083"/>
      <c r="U257" s="1311"/>
      <c r="V257" s="1083"/>
      <c r="W257" s="1083"/>
      <c r="X257" s="1083"/>
      <c r="Y257" s="1083"/>
      <c r="Z257" s="1083"/>
      <c r="AA257" s="1083"/>
      <c r="AB257" s="1083"/>
      <c r="AC257" s="1083"/>
      <c r="AD257" s="1083"/>
      <c r="AE257" s="1083"/>
      <c r="AF257" s="1083"/>
      <c r="AG257" s="1083"/>
      <c r="AH257" s="1083"/>
      <c r="AI257" s="1083"/>
      <c r="AJ257" s="1083"/>
      <c r="AK257" s="1083"/>
    </row>
    <row r="258" spans="1:37" x14ac:dyDescent="0.35">
      <c r="A258" s="484"/>
      <c r="B258" s="484"/>
      <c r="C258" s="484"/>
      <c r="D258" s="484"/>
      <c r="E258" s="484"/>
      <c r="F258" s="1277"/>
      <c r="G258" s="484"/>
      <c r="H258" s="484"/>
      <c r="I258" s="484"/>
      <c r="J258" s="484"/>
      <c r="K258" s="484"/>
      <c r="L258" s="484"/>
      <c r="M258" s="484"/>
      <c r="N258" s="484"/>
      <c r="O258" s="484"/>
      <c r="P258" s="484"/>
      <c r="Q258" s="484"/>
      <c r="R258" s="484"/>
      <c r="S258" s="484"/>
      <c r="T258" s="1083"/>
      <c r="U258" s="1311"/>
      <c r="V258" s="1083"/>
      <c r="W258" s="1083"/>
      <c r="X258" s="1083"/>
      <c r="Y258" s="1083"/>
      <c r="Z258" s="1083"/>
      <c r="AA258" s="1083"/>
      <c r="AB258" s="1083"/>
      <c r="AC258" s="1083"/>
      <c r="AD258" s="1083"/>
      <c r="AE258" s="1083"/>
      <c r="AF258" s="1083"/>
      <c r="AG258" s="1083"/>
      <c r="AH258" s="1083"/>
      <c r="AI258" s="1083"/>
      <c r="AJ258" s="1083"/>
      <c r="AK258" s="1083"/>
    </row>
    <row r="259" spans="1:37" x14ac:dyDescent="0.35">
      <c r="A259" s="484"/>
      <c r="B259" s="484"/>
      <c r="C259" s="484"/>
      <c r="D259" s="484"/>
      <c r="E259" s="484"/>
      <c r="F259" s="1277"/>
      <c r="G259" s="484"/>
      <c r="H259" s="484"/>
      <c r="I259" s="484"/>
      <c r="J259" s="484"/>
      <c r="K259" s="484"/>
      <c r="L259" s="484"/>
      <c r="M259" s="484"/>
      <c r="N259" s="484"/>
      <c r="O259" s="484"/>
      <c r="P259" s="484"/>
      <c r="Q259" s="484"/>
      <c r="R259" s="484"/>
      <c r="S259" s="484"/>
      <c r="T259" s="1083"/>
      <c r="U259" s="1311"/>
      <c r="V259" s="1083"/>
      <c r="W259" s="1083"/>
      <c r="X259" s="1083"/>
      <c r="Y259" s="1083"/>
      <c r="Z259" s="1083"/>
      <c r="AA259" s="1083"/>
      <c r="AB259" s="1083"/>
      <c r="AC259" s="1083"/>
      <c r="AD259" s="1083"/>
      <c r="AE259" s="1083"/>
      <c r="AF259" s="1083"/>
      <c r="AG259" s="1083"/>
      <c r="AH259" s="1083"/>
      <c r="AI259" s="1083"/>
      <c r="AJ259" s="1083"/>
      <c r="AK259" s="1083"/>
    </row>
    <row r="260" spans="1:37" x14ac:dyDescent="0.35">
      <c r="A260" s="484"/>
      <c r="B260" s="484"/>
      <c r="C260" s="484"/>
      <c r="D260" s="484"/>
      <c r="E260" s="484"/>
      <c r="F260" s="1277"/>
      <c r="G260" s="484"/>
      <c r="H260" s="484"/>
      <c r="I260" s="484"/>
      <c r="J260" s="484"/>
      <c r="K260" s="484"/>
      <c r="L260" s="484"/>
      <c r="M260" s="484"/>
      <c r="N260" s="484"/>
      <c r="O260" s="484"/>
      <c r="P260" s="484"/>
      <c r="Q260" s="484"/>
      <c r="R260" s="484"/>
      <c r="S260" s="484"/>
      <c r="T260" s="1083"/>
      <c r="U260" s="1311"/>
      <c r="V260" s="1083"/>
      <c r="W260" s="1083"/>
      <c r="X260" s="1083"/>
      <c r="Y260" s="1083"/>
      <c r="Z260" s="1083"/>
      <c r="AA260" s="1083"/>
      <c r="AB260" s="1083"/>
      <c r="AC260" s="1083"/>
      <c r="AD260" s="1083"/>
      <c r="AE260" s="1083"/>
      <c r="AF260" s="1083"/>
      <c r="AG260" s="1083"/>
      <c r="AH260" s="1083"/>
      <c r="AI260" s="1083"/>
      <c r="AJ260" s="1083"/>
      <c r="AK260" s="1083"/>
    </row>
    <row r="261" spans="1:37" x14ac:dyDescent="0.35">
      <c r="A261" s="484"/>
      <c r="B261" s="484"/>
      <c r="C261" s="484"/>
      <c r="D261" s="484"/>
      <c r="E261" s="484"/>
      <c r="F261" s="1277"/>
      <c r="G261" s="484"/>
      <c r="H261" s="484"/>
      <c r="I261" s="484"/>
      <c r="J261" s="484"/>
      <c r="K261" s="484"/>
      <c r="L261" s="484"/>
      <c r="M261" s="484"/>
      <c r="N261" s="484"/>
      <c r="O261" s="484"/>
      <c r="P261" s="484"/>
      <c r="Q261" s="484"/>
      <c r="R261" s="484"/>
      <c r="S261" s="484"/>
      <c r="T261" s="1083"/>
      <c r="U261" s="1311"/>
      <c r="V261" s="1083"/>
      <c r="W261" s="1083"/>
      <c r="X261" s="1083"/>
      <c r="Y261" s="1083"/>
      <c r="Z261" s="1083"/>
      <c r="AA261" s="1083"/>
      <c r="AB261" s="1083"/>
      <c r="AC261" s="1083"/>
      <c r="AD261" s="1083"/>
      <c r="AE261" s="1083"/>
      <c r="AF261" s="1083"/>
      <c r="AG261" s="1083"/>
      <c r="AH261" s="1083"/>
      <c r="AI261" s="1083"/>
      <c r="AJ261" s="1083"/>
      <c r="AK261" s="1083"/>
    </row>
    <row r="262" spans="1:37" x14ac:dyDescent="0.35">
      <c r="A262" s="484"/>
      <c r="B262" s="484"/>
      <c r="C262" s="484"/>
      <c r="D262" s="484"/>
      <c r="E262" s="484"/>
      <c r="F262" s="1277"/>
      <c r="G262" s="484"/>
      <c r="H262" s="484"/>
      <c r="I262" s="484"/>
      <c r="J262" s="484"/>
      <c r="K262" s="484"/>
      <c r="L262" s="484"/>
      <c r="M262" s="484"/>
      <c r="N262" s="484"/>
      <c r="O262" s="484"/>
      <c r="P262" s="484"/>
      <c r="Q262" s="484"/>
      <c r="R262" s="484"/>
      <c r="S262" s="484"/>
      <c r="T262" s="1083"/>
      <c r="U262" s="1311"/>
      <c r="V262" s="1083"/>
      <c r="W262" s="1083"/>
      <c r="X262" s="1083"/>
      <c r="Y262" s="1083"/>
      <c r="Z262" s="1083"/>
      <c r="AA262" s="1083"/>
      <c r="AB262" s="1083"/>
      <c r="AC262" s="1083"/>
      <c r="AD262" s="1083"/>
      <c r="AE262" s="1083"/>
      <c r="AF262" s="1083"/>
      <c r="AG262" s="1083"/>
      <c r="AH262" s="1083"/>
      <c r="AI262" s="1083"/>
      <c r="AJ262" s="1083"/>
      <c r="AK262" s="1083"/>
    </row>
    <row r="263" spans="1:37" x14ac:dyDescent="0.35">
      <c r="A263" s="484"/>
      <c r="B263" s="484"/>
      <c r="C263" s="484"/>
      <c r="D263" s="484"/>
      <c r="E263" s="484"/>
      <c r="F263" s="1277"/>
      <c r="G263" s="484"/>
      <c r="H263" s="484"/>
      <c r="I263" s="484"/>
      <c r="J263" s="484"/>
      <c r="K263" s="484"/>
      <c r="L263" s="484"/>
      <c r="M263" s="484"/>
      <c r="N263" s="484"/>
      <c r="O263" s="484"/>
      <c r="P263" s="484"/>
      <c r="Q263" s="484"/>
      <c r="R263" s="484"/>
      <c r="S263" s="484"/>
      <c r="T263" s="1083"/>
      <c r="U263" s="1311"/>
      <c r="V263" s="1083"/>
      <c r="W263" s="1083"/>
      <c r="X263" s="1083"/>
      <c r="Y263" s="1083"/>
      <c r="Z263" s="1083"/>
      <c r="AA263" s="1083"/>
      <c r="AB263" s="1083"/>
      <c r="AC263" s="1083"/>
      <c r="AD263" s="1083"/>
      <c r="AE263" s="1083"/>
      <c r="AF263" s="1083"/>
      <c r="AG263" s="1083"/>
      <c r="AH263" s="1083"/>
      <c r="AI263" s="1083"/>
      <c r="AJ263" s="1083"/>
      <c r="AK263" s="1083"/>
    </row>
    <row r="264" spans="1:37" x14ac:dyDescent="0.35">
      <c r="A264" s="484"/>
      <c r="B264" s="484"/>
      <c r="C264" s="484"/>
      <c r="D264" s="484"/>
      <c r="E264" s="484"/>
      <c r="F264" s="1277"/>
      <c r="G264" s="484"/>
      <c r="H264" s="484"/>
      <c r="I264" s="484"/>
      <c r="J264" s="484"/>
      <c r="K264" s="484"/>
      <c r="L264" s="484"/>
      <c r="M264" s="484"/>
      <c r="N264" s="484"/>
      <c r="O264" s="484"/>
      <c r="P264" s="484"/>
      <c r="Q264" s="484"/>
      <c r="R264" s="484"/>
      <c r="S264" s="484"/>
      <c r="T264" s="1083"/>
      <c r="U264" s="1311"/>
      <c r="V264" s="1083"/>
      <c r="W264" s="1083"/>
      <c r="X264" s="1083"/>
      <c r="Y264" s="1083"/>
      <c r="Z264" s="1083"/>
      <c r="AA264" s="1083"/>
      <c r="AB264" s="1083"/>
      <c r="AC264" s="1083"/>
      <c r="AD264" s="1083"/>
      <c r="AE264" s="1083"/>
      <c r="AF264" s="1083"/>
      <c r="AG264" s="1083"/>
      <c r="AH264" s="1083"/>
      <c r="AI264" s="1083"/>
      <c r="AJ264" s="1083"/>
      <c r="AK264" s="1083"/>
    </row>
    <row r="265" spans="1:37" x14ac:dyDescent="0.35">
      <c r="A265" s="484"/>
      <c r="B265" s="484"/>
      <c r="C265" s="484"/>
      <c r="D265" s="484"/>
      <c r="E265" s="484"/>
      <c r="F265" s="1277"/>
      <c r="G265" s="484"/>
      <c r="H265" s="484"/>
      <c r="I265" s="484"/>
      <c r="J265" s="484"/>
      <c r="K265" s="484"/>
      <c r="L265" s="484"/>
      <c r="M265" s="484"/>
      <c r="N265" s="484"/>
      <c r="O265" s="484"/>
      <c r="P265" s="484"/>
      <c r="Q265" s="484"/>
      <c r="R265" s="484"/>
      <c r="S265" s="484"/>
      <c r="T265" s="1083"/>
      <c r="U265" s="1311"/>
      <c r="V265" s="1083"/>
      <c r="W265" s="1083"/>
      <c r="X265" s="1083"/>
      <c r="Y265" s="1083"/>
      <c r="Z265" s="1083"/>
      <c r="AA265" s="1083"/>
      <c r="AB265" s="1083"/>
      <c r="AC265" s="1083"/>
      <c r="AD265" s="1083"/>
      <c r="AE265" s="1083"/>
      <c r="AF265" s="1083"/>
      <c r="AG265" s="1083"/>
      <c r="AH265" s="1083"/>
      <c r="AI265" s="1083"/>
      <c r="AJ265" s="1083"/>
      <c r="AK265" s="1083"/>
    </row>
    <row r="266" spans="1:37" x14ac:dyDescent="0.35">
      <c r="A266" s="484"/>
      <c r="B266" s="484"/>
      <c r="C266" s="484"/>
      <c r="D266" s="484"/>
      <c r="E266" s="484"/>
      <c r="F266" s="1277"/>
      <c r="G266" s="484"/>
      <c r="H266" s="484"/>
      <c r="I266" s="484"/>
      <c r="J266" s="484"/>
      <c r="K266" s="484"/>
      <c r="L266" s="484"/>
      <c r="M266" s="484"/>
      <c r="N266" s="484"/>
      <c r="O266" s="484"/>
      <c r="P266" s="484"/>
      <c r="Q266" s="484"/>
      <c r="R266" s="484"/>
      <c r="S266" s="484"/>
      <c r="T266" s="1083"/>
      <c r="U266" s="1311"/>
      <c r="V266" s="1083"/>
      <c r="W266" s="1083"/>
      <c r="X266" s="1083"/>
      <c r="Y266" s="1083"/>
      <c r="Z266" s="1083"/>
      <c r="AA266" s="1083"/>
      <c r="AB266" s="1083"/>
      <c r="AC266" s="1083"/>
      <c r="AD266" s="1083"/>
      <c r="AE266" s="1083"/>
      <c r="AF266" s="1083"/>
      <c r="AG266" s="1083"/>
      <c r="AH266" s="1083"/>
      <c r="AI266" s="1083"/>
      <c r="AJ266" s="1083"/>
      <c r="AK266" s="1083"/>
    </row>
    <row r="267" spans="1:37" x14ac:dyDescent="0.35">
      <c r="A267" s="484"/>
      <c r="B267" s="484"/>
      <c r="C267" s="484"/>
      <c r="D267" s="484"/>
      <c r="E267" s="484"/>
      <c r="F267" s="1277"/>
      <c r="G267" s="484"/>
      <c r="H267" s="484"/>
      <c r="I267" s="484"/>
      <c r="J267" s="484"/>
      <c r="K267" s="484"/>
      <c r="L267" s="484"/>
      <c r="M267" s="484"/>
      <c r="N267" s="484"/>
      <c r="O267" s="484"/>
      <c r="P267" s="484"/>
      <c r="Q267" s="484"/>
      <c r="R267" s="484"/>
      <c r="S267" s="484"/>
      <c r="T267" s="1083"/>
      <c r="U267" s="1311"/>
      <c r="V267" s="1083"/>
      <c r="W267" s="1083"/>
      <c r="X267" s="1083"/>
      <c r="Y267" s="1083"/>
      <c r="Z267" s="1083"/>
      <c r="AA267" s="1083"/>
      <c r="AB267" s="1083"/>
      <c r="AC267" s="1083"/>
      <c r="AD267" s="1083"/>
      <c r="AE267" s="1083"/>
      <c r="AF267" s="1083"/>
      <c r="AG267" s="1083"/>
      <c r="AH267" s="1083"/>
      <c r="AI267" s="1083"/>
      <c r="AJ267" s="1083"/>
      <c r="AK267" s="1083"/>
    </row>
    <row r="268" spans="1:37" x14ac:dyDescent="0.35">
      <c r="A268" s="484"/>
      <c r="B268" s="484"/>
      <c r="C268" s="484"/>
      <c r="D268" s="484"/>
      <c r="E268" s="484"/>
      <c r="F268" s="1277"/>
      <c r="G268" s="484"/>
      <c r="H268" s="484"/>
      <c r="I268" s="484"/>
      <c r="J268" s="484"/>
      <c r="K268" s="484"/>
      <c r="L268" s="484"/>
      <c r="M268" s="484"/>
      <c r="N268" s="484"/>
      <c r="O268" s="484"/>
      <c r="P268" s="484"/>
      <c r="Q268" s="484"/>
      <c r="R268" s="484"/>
      <c r="S268" s="484"/>
      <c r="T268" s="1083"/>
      <c r="U268" s="1311"/>
      <c r="V268" s="1083"/>
      <c r="W268" s="1083"/>
      <c r="X268" s="1083"/>
      <c r="Y268" s="1083"/>
      <c r="Z268" s="1083"/>
      <c r="AA268" s="1083"/>
      <c r="AB268" s="1083"/>
      <c r="AC268" s="1083"/>
      <c r="AD268" s="1083"/>
      <c r="AE268" s="1083"/>
      <c r="AF268" s="1083"/>
      <c r="AG268" s="1083"/>
      <c r="AH268" s="1083"/>
      <c r="AI268" s="1083"/>
      <c r="AJ268" s="1083"/>
      <c r="AK268" s="1083"/>
    </row>
    <row r="269" spans="1:37" x14ac:dyDescent="0.35">
      <c r="A269" s="484"/>
      <c r="B269" s="484"/>
      <c r="C269" s="484"/>
      <c r="D269" s="484"/>
      <c r="E269" s="484"/>
      <c r="F269" s="1277"/>
      <c r="G269" s="484"/>
      <c r="H269" s="484"/>
      <c r="I269" s="484"/>
      <c r="J269" s="484"/>
      <c r="K269" s="484"/>
      <c r="L269" s="484"/>
      <c r="M269" s="484"/>
      <c r="N269" s="484"/>
      <c r="O269" s="484"/>
      <c r="P269" s="484"/>
      <c r="Q269" s="484"/>
      <c r="R269" s="484"/>
      <c r="S269" s="484"/>
      <c r="T269" s="1083"/>
      <c r="U269" s="1311"/>
      <c r="V269" s="1083"/>
      <c r="W269" s="1083"/>
      <c r="X269" s="1083"/>
      <c r="Y269" s="1083"/>
      <c r="Z269" s="1083"/>
      <c r="AA269" s="1083"/>
      <c r="AB269" s="1083"/>
      <c r="AC269" s="1083"/>
      <c r="AD269" s="1083"/>
      <c r="AE269" s="1083"/>
      <c r="AF269" s="1083"/>
      <c r="AG269" s="1083"/>
      <c r="AH269" s="1083"/>
      <c r="AI269" s="1083"/>
      <c r="AJ269" s="1083"/>
      <c r="AK269" s="1083"/>
    </row>
    <row r="270" spans="1:37" x14ac:dyDescent="0.35">
      <c r="A270" s="484"/>
      <c r="B270" s="484"/>
      <c r="C270" s="484"/>
      <c r="D270" s="484"/>
      <c r="E270" s="484"/>
      <c r="F270" s="1277"/>
      <c r="G270" s="484"/>
      <c r="H270" s="484"/>
      <c r="I270" s="484"/>
      <c r="J270" s="484"/>
      <c r="K270" s="484"/>
      <c r="L270" s="484"/>
      <c r="M270" s="484"/>
      <c r="N270" s="484"/>
      <c r="O270" s="484"/>
      <c r="P270" s="484"/>
      <c r="Q270" s="484"/>
      <c r="R270" s="484"/>
      <c r="S270" s="484"/>
      <c r="T270" s="1083"/>
      <c r="U270" s="1311"/>
      <c r="V270" s="1083"/>
      <c r="W270" s="1083"/>
      <c r="X270" s="1083"/>
      <c r="Y270" s="1083"/>
      <c r="Z270" s="1083"/>
      <c r="AA270" s="1083"/>
      <c r="AB270" s="1083"/>
      <c r="AC270" s="1083"/>
      <c r="AD270" s="1083"/>
      <c r="AE270" s="1083"/>
      <c r="AF270" s="1083"/>
      <c r="AG270" s="1083"/>
      <c r="AH270" s="1083"/>
      <c r="AI270" s="1083"/>
      <c r="AJ270" s="1083"/>
      <c r="AK270" s="1083"/>
    </row>
    <row r="271" spans="1:37" x14ac:dyDescent="0.35">
      <c r="A271" s="484"/>
      <c r="B271" s="484"/>
      <c r="C271" s="484"/>
      <c r="D271" s="484"/>
      <c r="E271" s="484"/>
      <c r="F271" s="1277"/>
      <c r="G271" s="484"/>
      <c r="H271" s="484"/>
      <c r="I271" s="484"/>
      <c r="J271" s="484"/>
      <c r="K271" s="484"/>
      <c r="L271" s="484"/>
      <c r="M271" s="484"/>
      <c r="N271" s="484"/>
      <c r="O271" s="484"/>
      <c r="P271" s="484"/>
      <c r="Q271" s="484"/>
      <c r="R271" s="484"/>
      <c r="S271" s="484"/>
      <c r="T271" s="1083"/>
      <c r="U271" s="1311"/>
      <c r="V271" s="1083"/>
      <c r="W271" s="1083"/>
      <c r="X271" s="1083"/>
      <c r="Y271" s="1083"/>
      <c r="Z271" s="1083"/>
      <c r="AA271" s="1083"/>
      <c r="AB271" s="1083"/>
      <c r="AC271" s="1083"/>
      <c r="AD271" s="1083"/>
      <c r="AE271" s="1083"/>
      <c r="AF271" s="1083"/>
      <c r="AG271" s="1083"/>
      <c r="AH271" s="1083"/>
      <c r="AI271" s="1083"/>
      <c r="AJ271" s="1083"/>
      <c r="AK271" s="1083"/>
    </row>
    <row r="272" spans="1:37" x14ac:dyDescent="0.35">
      <c r="A272" s="484"/>
      <c r="B272" s="484"/>
      <c r="C272" s="484"/>
      <c r="D272" s="484"/>
      <c r="E272" s="484"/>
      <c r="F272" s="1277"/>
      <c r="G272" s="484"/>
      <c r="H272" s="484"/>
      <c r="I272" s="484"/>
      <c r="J272" s="484"/>
      <c r="K272" s="484"/>
      <c r="L272" s="484"/>
      <c r="M272" s="484"/>
      <c r="N272" s="484"/>
      <c r="O272" s="484"/>
      <c r="P272" s="484"/>
      <c r="Q272" s="484"/>
      <c r="R272" s="484"/>
      <c r="S272" s="484"/>
      <c r="T272" s="1083"/>
      <c r="U272" s="1311"/>
      <c r="V272" s="1083"/>
      <c r="W272" s="1083"/>
      <c r="X272" s="1083"/>
      <c r="Y272" s="1083"/>
      <c r="Z272" s="1083"/>
      <c r="AA272" s="1083"/>
      <c r="AB272" s="1083"/>
      <c r="AC272" s="1083"/>
      <c r="AD272" s="1083"/>
      <c r="AE272" s="1083"/>
      <c r="AF272" s="1083"/>
      <c r="AG272" s="1083"/>
      <c r="AH272" s="1083"/>
      <c r="AI272" s="1083"/>
      <c r="AJ272" s="1083"/>
      <c r="AK272" s="1083"/>
    </row>
    <row r="273" spans="1:37" x14ac:dyDescent="0.35">
      <c r="A273" s="484"/>
      <c r="B273" s="484"/>
      <c r="C273" s="484"/>
      <c r="D273" s="484"/>
      <c r="E273" s="484"/>
      <c r="F273" s="1277"/>
      <c r="G273" s="484"/>
      <c r="H273" s="484"/>
      <c r="I273" s="484"/>
      <c r="J273" s="484"/>
      <c r="K273" s="484"/>
      <c r="L273" s="484"/>
      <c r="M273" s="484"/>
      <c r="N273" s="484"/>
      <c r="O273" s="484"/>
      <c r="P273" s="484"/>
      <c r="Q273" s="484"/>
      <c r="R273" s="484"/>
      <c r="S273" s="484"/>
      <c r="T273" s="1083"/>
      <c r="U273" s="1311"/>
      <c r="V273" s="1083"/>
      <c r="W273" s="1083"/>
      <c r="X273" s="1083"/>
      <c r="Y273" s="1083"/>
      <c r="Z273" s="1083"/>
      <c r="AA273" s="1083"/>
      <c r="AB273" s="1083"/>
      <c r="AC273" s="1083"/>
      <c r="AD273" s="1083"/>
      <c r="AE273" s="1083"/>
      <c r="AF273" s="1083"/>
      <c r="AG273" s="1083"/>
      <c r="AH273" s="1083"/>
      <c r="AI273" s="1083"/>
      <c r="AJ273" s="1083"/>
      <c r="AK273" s="1083"/>
    </row>
    <row r="274" spans="1:37" x14ac:dyDescent="0.35">
      <c r="A274" s="484"/>
      <c r="B274" s="484"/>
      <c r="C274" s="484"/>
      <c r="D274" s="484"/>
      <c r="E274" s="484"/>
      <c r="F274" s="1277"/>
      <c r="G274" s="484"/>
      <c r="H274" s="484"/>
      <c r="I274" s="484"/>
      <c r="J274" s="484"/>
      <c r="K274" s="484"/>
      <c r="L274" s="484"/>
      <c r="M274" s="484"/>
      <c r="N274" s="484"/>
      <c r="O274" s="484"/>
      <c r="P274" s="484"/>
      <c r="Q274" s="484"/>
      <c r="R274" s="484"/>
      <c r="S274" s="484"/>
      <c r="T274" s="1083"/>
      <c r="U274" s="1311"/>
      <c r="V274" s="1083"/>
      <c r="W274" s="1083"/>
      <c r="X274" s="1083"/>
      <c r="Y274" s="1083"/>
      <c r="Z274" s="1083"/>
      <c r="AA274" s="1083"/>
      <c r="AB274" s="1083"/>
      <c r="AC274" s="1083"/>
      <c r="AD274" s="1083"/>
      <c r="AE274" s="1083"/>
      <c r="AF274" s="1083"/>
      <c r="AG274" s="1083"/>
      <c r="AH274" s="1083"/>
      <c r="AI274" s="1083"/>
      <c r="AJ274" s="1083"/>
      <c r="AK274" s="1083"/>
    </row>
    <row r="275" spans="1:37" x14ac:dyDescent="0.35">
      <c r="A275" s="484"/>
      <c r="B275" s="484"/>
      <c r="C275" s="484"/>
      <c r="D275" s="484"/>
      <c r="E275" s="484"/>
      <c r="F275" s="1277"/>
      <c r="G275" s="484"/>
      <c r="H275" s="484"/>
      <c r="I275" s="484"/>
      <c r="J275" s="484"/>
      <c r="K275" s="484"/>
      <c r="L275" s="484"/>
      <c r="M275" s="484"/>
      <c r="N275" s="484"/>
      <c r="O275" s="484"/>
      <c r="P275" s="484"/>
      <c r="Q275" s="484"/>
      <c r="R275" s="484"/>
      <c r="S275" s="484"/>
      <c r="T275" s="1083"/>
      <c r="U275" s="1311"/>
      <c r="V275" s="1083"/>
      <c r="W275" s="1083"/>
      <c r="X275" s="1083"/>
      <c r="Y275" s="1083"/>
      <c r="Z275" s="1083"/>
      <c r="AA275" s="1083"/>
      <c r="AB275" s="1083"/>
      <c r="AC275" s="1083"/>
      <c r="AD275" s="1083"/>
      <c r="AE275" s="1083"/>
      <c r="AF275" s="1083"/>
      <c r="AG275" s="1083"/>
      <c r="AH275" s="1083"/>
      <c r="AI275" s="1083"/>
      <c r="AJ275" s="1083"/>
      <c r="AK275" s="1083"/>
    </row>
    <row r="276" spans="1:37" x14ac:dyDescent="0.35">
      <c r="A276" s="484"/>
      <c r="B276" s="484"/>
      <c r="C276" s="484"/>
      <c r="D276" s="484"/>
      <c r="E276" s="484"/>
      <c r="F276" s="1277"/>
      <c r="G276" s="484"/>
      <c r="H276" s="484"/>
      <c r="I276" s="484"/>
      <c r="J276" s="484"/>
      <c r="K276" s="484"/>
      <c r="L276" s="484"/>
      <c r="M276" s="484"/>
      <c r="N276" s="484"/>
      <c r="O276" s="484"/>
      <c r="P276" s="484"/>
      <c r="Q276" s="484"/>
      <c r="R276" s="484"/>
      <c r="S276" s="484"/>
      <c r="T276" s="1083"/>
      <c r="U276" s="1311"/>
      <c r="V276" s="1083"/>
      <c r="W276" s="1083"/>
      <c r="X276" s="1083"/>
      <c r="Y276" s="1083"/>
      <c r="Z276" s="1083"/>
      <c r="AA276" s="1083"/>
      <c r="AB276" s="1083"/>
      <c r="AC276" s="1083"/>
      <c r="AD276" s="1083"/>
      <c r="AE276" s="1083"/>
      <c r="AF276" s="1083"/>
      <c r="AG276" s="1083"/>
      <c r="AH276" s="1083"/>
      <c r="AI276" s="1083"/>
      <c r="AJ276" s="1083"/>
      <c r="AK276" s="1083"/>
    </row>
    <row r="277" spans="1:37" x14ac:dyDescent="0.35">
      <c r="A277" s="484"/>
      <c r="B277" s="484"/>
      <c r="C277" s="484"/>
      <c r="D277" s="484"/>
      <c r="E277" s="484"/>
      <c r="F277" s="1277"/>
      <c r="G277" s="484"/>
      <c r="H277" s="484"/>
      <c r="I277" s="484"/>
      <c r="J277" s="484"/>
      <c r="K277" s="484"/>
      <c r="L277" s="484"/>
      <c r="M277" s="484"/>
      <c r="N277" s="484"/>
      <c r="O277" s="484"/>
      <c r="P277" s="484"/>
      <c r="Q277" s="484"/>
      <c r="R277" s="484"/>
      <c r="S277" s="484"/>
      <c r="T277" s="1083"/>
      <c r="U277" s="1311"/>
      <c r="V277" s="1083"/>
      <c r="W277" s="1083"/>
      <c r="X277" s="1083"/>
      <c r="Y277" s="1083"/>
      <c r="Z277" s="1083"/>
      <c r="AA277" s="1083"/>
      <c r="AB277" s="1083"/>
      <c r="AC277" s="1083"/>
      <c r="AD277" s="1083"/>
      <c r="AE277" s="1083"/>
      <c r="AF277" s="1083"/>
      <c r="AG277" s="1083"/>
      <c r="AH277" s="1083"/>
      <c r="AI277" s="1083"/>
      <c r="AJ277" s="1083"/>
      <c r="AK277" s="1083"/>
    </row>
    <row r="278" spans="1:37" x14ac:dyDescent="0.35">
      <c r="A278" s="484"/>
      <c r="B278" s="484"/>
      <c r="C278" s="484"/>
      <c r="D278" s="484"/>
      <c r="E278" s="484"/>
      <c r="F278" s="1277"/>
      <c r="G278" s="484"/>
      <c r="H278" s="484"/>
      <c r="I278" s="484"/>
      <c r="J278" s="484"/>
      <c r="K278" s="484"/>
      <c r="L278" s="484"/>
      <c r="M278" s="484"/>
      <c r="N278" s="484"/>
      <c r="O278" s="484"/>
      <c r="P278" s="484"/>
      <c r="Q278" s="484"/>
      <c r="R278" s="484"/>
      <c r="S278" s="484"/>
      <c r="T278" s="1083"/>
      <c r="U278" s="1311"/>
      <c r="V278" s="1083"/>
      <c r="W278" s="1083"/>
      <c r="X278" s="1083"/>
      <c r="Y278" s="1083"/>
      <c r="Z278" s="1083"/>
      <c r="AA278" s="1083"/>
      <c r="AB278" s="1083"/>
      <c r="AC278" s="1083"/>
      <c r="AD278" s="1083"/>
      <c r="AE278" s="1083"/>
      <c r="AF278" s="1083"/>
      <c r="AG278" s="1083"/>
      <c r="AH278" s="1083"/>
      <c r="AI278" s="1083"/>
      <c r="AJ278" s="1083"/>
      <c r="AK278" s="1083"/>
    </row>
    <row r="279" spans="1:37" x14ac:dyDescent="0.35">
      <c r="A279" s="484"/>
      <c r="B279" s="484"/>
      <c r="C279" s="484"/>
      <c r="D279" s="484"/>
      <c r="E279" s="484"/>
      <c r="F279" s="1277"/>
      <c r="G279" s="484"/>
      <c r="H279" s="484"/>
      <c r="I279" s="484"/>
      <c r="J279" s="484"/>
      <c r="K279" s="484"/>
      <c r="L279" s="484"/>
      <c r="M279" s="484"/>
      <c r="N279" s="484"/>
      <c r="O279" s="484"/>
      <c r="P279" s="484"/>
      <c r="Q279" s="484"/>
      <c r="R279" s="484"/>
      <c r="S279" s="484"/>
      <c r="T279" s="1083"/>
      <c r="U279" s="1311"/>
      <c r="V279" s="1083"/>
      <c r="W279" s="1083"/>
      <c r="X279" s="1083"/>
      <c r="Y279" s="1083"/>
      <c r="Z279" s="1083"/>
      <c r="AA279" s="1083"/>
      <c r="AB279" s="1083"/>
      <c r="AC279" s="1083"/>
      <c r="AD279" s="1083"/>
      <c r="AE279" s="1083"/>
      <c r="AF279" s="1083"/>
      <c r="AG279" s="1083"/>
      <c r="AH279" s="1083"/>
      <c r="AI279" s="1083"/>
      <c r="AJ279" s="1083"/>
      <c r="AK279" s="1083"/>
    </row>
    <row r="280" spans="1:37" x14ac:dyDescent="0.35">
      <c r="A280" s="484"/>
      <c r="B280" s="484"/>
      <c r="C280" s="484"/>
      <c r="D280" s="484"/>
      <c r="E280" s="484"/>
      <c r="F280" s="1277"/>
      <c r="G280" s="484"/>
      <c r="H280" s="484"/>
      <c r="I280" s="484"/>
      <c r="J280" s="484"/>
      <c r="K280" s="484"/>
      <c r="L280" s="484"/>
      <c r="M280" s="484"/>
      <c r="N280" s="484"/>
      <c r="O280" s="484"/>
      <c r="P280" s="484"/>
      <c r="Q280" s="484"/>
      <c r="R280" s="484"/>
      <c r="S280" s="484"/>
      <c r="T280" s="1083"/>
      <c r="U280" s="1311"/>
      <c r="V280" s="1083"/>
      <c r="W280" s="1083"/>
      <c r="X280" s="1083"/>
      <c r="Y280" s="1083"/>
      <c r="Z280" s="1083"/>
      <c r="AA280" s="1083"/>
      <c r="AB280" s="1083"/>
      <c r="AC280" s="1083"/>
      <c r="AD280" s="1083"/>
      <c r="AE280" s="1083"/>
      <c r="AF280" s="1083"/>
      <c r="AG280" s="1083"/>
      <c r="AH280" s="1083"/>
      <c r="AI280" s="1083"/>
      <c r="AJ280" s="1083"/>
      <c r="AK280" s="1083"/>
    </row>
    <row r="281" spans="1:37" x14ac:dyDescent="0.35">
      <c r="A281" s="484"/>
      <c r="B281" s="484"/>
      <c r="C281" s="484"/>
      <c r="D281" s="484"/>
      <c r="E281" s="484"/>
      <c r="F281" s="1277"/>
      <c r="G281" s="484"/>
      <c r="H281" s="484"/>
      <c r="I281" s="484"/>
      <c r="J281" s="484"/>
      <c r="K281" s="484"/>
      <c r="L281" s="484"/>
      <c r="M281" s="484"/>
      <c r="N281" s="484"/>
      <c r="O281" s="484"/>
      <c r="P281" s="484"/>
      <c r="Q281" s="484"/>
      <c r="R281" s="484"/>
      <c r="S281" s="484"/>
      <c r="T281" s="1083"/>
      <c r="U281" s="1311"/>
      <c r="V281" s="1083"/>
      <c r="W281" s="1083"/>
      <c r="X281" s="1083"/>
      <c r="Y281" s="1083"/>
      <c r="Z281" s="1083"/>
      <c r="AA281" s="1083"/>
      <c r="AB281" s="1083"/>
      <c r="AC281" s="1083"/>
      <c r="AD281" s="1083"/>
      <c r="AE281" s="1083"/>
      <c r="AF281" s="1083"/>
      <c r="AG281" s="1083"/>
      <c r="AH281" s="1083"/>
      <c r="AI281" s="1083"/>
      <c r="AJ281" s="1083"/>
      <c r="AK281" s="1083"/>
    </row>
    <row r="282" spans="1:37" x14ac:dyDescent="0.35">
      <c r="A282" s="484"/>
      <c r="B282" s="484"/>
      <c r="C282" s="484"/>
      <c r="D282" s="484"/>
      <c r="E282" s="484"/>
      <c r="F282" s="1277"/>
      <c r="G282" s="484"/>
      <c r="H282" s="484"/>
      <c r="I282" s="484"/>
      <c r="J282" s="484"/>
      <c r="K282" s="484"/>
      <c r="L282" s="484"/>
      <c r="M282" s="484"/>
      <c r="N282" s="484"/>
      <c r="O282" s="484"/>
      <c r="P282" s="484"/>
      <c r="Q282" s="484"/>
      <c r="R282" s="484"/>
      <c r="S282" s="484"/>
      <c r="T282" s="1083"/>
      <c r="U282" s="1311"/>
      <c r="V282" s="1083"/>
      <c r="W282" s="1083"/>
      <c r="X282" s="1083"/>
      <c r="Y282" s="1083"/>
      <c r="Z282" s="1083"/>
      <c r="AA282" s="1083"/>
      <c r="AB282" s="1083"/>
      <c r="AC282" s="1083"/>
      <c r="AD282" s="1083"/>
      <c r="AE282" s="1083"/>
      <c r="AF282" s="1083"/>
      <c r="AG282" s="1083"/>
      <c r="AH282" s="1083"/>
      <c r="AI282" s="1083"/>
      <c r="AJ282" s="1083"/>
      <c r="AK282" s="1083"/>
    </row>
    <row r="283" spans="1:37" x14ac:dyDescent="0.35">
      <c r="A283" s="484"/>
      <c r="B283" s="484"/>
      <c r="C283" s="484"/>
      <c r="D283" s="484"/>
      <c r="E283" s="484"/>
      <c r="F283" s="1277"/>
      <c r="G283" s="484"/>
      <c r="H283" s="484"/>
      <c r="I283" s="484"/>
      <c r="J283" s="484"/>
      <c r="K283" s="484"/>
      <c r="L283" s="484"/>
      <c r="M283" s="484"/>
      <c r="N283" s="484"/>
      <c r="O283" s="484"/>
      <c r="P283" s="484"/>
      <c r="Q283" s="484"/>
      <c r="R283" s="484"/>
      <c r="S283" s="484"/>
      <c r="T283" s="1083"/>
      <c r="U283" s="1311"/>
      <c r="V283" s="1083"/>
      <c r="W283" s="1083"/>
      <c r="X283" s="1083"/>
      <c r="Y283" s="1083"/>
      <c r="Z283" s="1083"/>
      <c r="AA283" s="1083"/>
      <c r="AB283" s="1083"/>
      <c r="AC283" s="1083"/>
      <c r="AD283" s="1083"/>
      <c r="AE283" s="1083"/>
      <c r="AF283" s="1083"/>
      <c r="AG283" s="1083"/>
      <c r="AH283" s="1083"/>
      <c r="AI283" s="1083"/>
      <c r="AJ283" s="1083"/>
      <c r="AK283" s="1083"/>
    </row>
    <row r="284" spans="1:37" x14ac:dyDescent="0.35">
      <c r="A284" s="484"/>
      <c r="B284" s="484"/>
      <c r="C284" s="484"/>
      <c r="D284" s="484"/>
      <c r="E284" s="484"/>
      <c r="F284" s="1277"/>
      <c r="G284" s="484"/>
      <c r="H284" s="484"/>
      <c r="I284" s="484"/>
      <c r="J284" s="484"/>
      <c r="K284" s="484"/>
      <c r="L284" s="484"/>
      <c r="M284" s="484"/>
      <c r="N284" s="484"/>
      <c r="O284" s="484"/>
      <c r="P284" s="484"/>
      <c r="Q284" s="484"/>
      <c r="R284" s="484"/>
      <c r="S284" s="484"/>
      <c r="T284" s="1083"/>
      <c r="U284" s="1311"/>
      <c r="V284" s="1083"/>
      <c r="W284" s="1083"/>
      <c r="X284" s="1083"/>
      <c r="Y284" s="1083"/>
      <c r="Z284" s="1083"/>
      <c r="AA284" s="1083"/>
      <c r="AB284" s="1083"/>
      <c r="AC284" s="1083"/>
      <c r="AD284" s="1083"/>
      <c r="AE284" s="1083"/>
      <c r="AF284" s="1083"/>
      <c r="AG284" s="1083"/>
      <c r="AH284" s="1083"/>
      <c r="AI284" s="1083"/>
      <c r="AJ284" s="1083"/>
      <c r="AK284" s="1083"/>
    </row>
    <row r="285" spans="1:37" x14ac:dyDescent="0.35">
      <c r="A285" s="484"/>
      <c r="B285" s="484"/>
      <c r="C285" s="484"/>
      <c r="D285" s="484"/>
      <c r="E285" s="484"/>
      <c r="F285" s="1277"/>
      <c r="G285" s="484"/>
      <c r="H285" s="484"/>
      <c r="I285" s="484"/>
      <c r="J285" s="484"/>
      <c r="K285" s="484"/>
      <c r="L285" s="484"/>
      <c r="M285" s="484"/>
      <c r="N285" s="484"/>
      <c r="O285" s="484"/>
      <c r="P285" s="484"/>
      <c r="Q285" s="484"/>
      <c r="R285" s="484"/>
      <c r="S285" s="484"/>
      <c r="T285" s="1083"/>
      <c r="U285" s="1311"/>
      <c r="V285" s="1083"/>
      <c r="W285" s="1083"/>
      <c r="X285" s="1083"/>
      <c r="Y285" s="1083"/>
      <c r="Z285" s="1083"/>
      <c r="AA285" s="1083"/>
      <c r="AB285" s="1083"/>
      <c r="AC285" s="1083"/>
      <c r="AD285" s="1083"/>
      <c r="AE285" s="1083"/>
      <c r="AF285" s="1083"/>
      <c r="AG285" s="1083"/>
      <c r="AH285" s="1083"/>
      <c r="AI285" s="1083"/>
      <c r="AJ285" s="1083"/>
      <c r="AK285" s="1083"/>
    </row>
    <row r="286" spans="1:37" x14ac:dyDescent="0.35">
      <c r="A286" s="484"/>
      <c r="B286" s="484"/>
      <c r="C286" s="484"/>
      <c r="D286" s="484"/>
      <c r="E286" s="484"/>
      <c r="F286" s="1277"/>
      <c r="G286" s="484"/>
      <c r="H286" s="484"/>
      <c r="I286" s="484"/>
      <c r="J286" s="484"/>
      <c r="K286" s="484"/>
      <c r="L286" s="484"/>
      <c r="M286" s="484"/>
      <c r="N286" s="484"/>
      <c r="O286" s="484"/>
      <c r="P286" s="484"/>
      <c r="Q286" s="484"/>
      <c r="R286" s="484"/>
      <c r="S286" s="484"/>
      <c r="T286" s="1083"/>
      <c r="U286" s="1311"/>
      <c r="V286" s="1083"/>
      <c r="W286" s="1083"/>
      <c r="X286" s="1083"/>
      <c r="Y286" s="1083"/>
      <c r="Z286" s="1083"/>
      <c r="AA286" s="1083"/>
      <c r="AB286" s="1083"/>
      <c r="AC286" s="1083"/>
      <c r="AD286" s="1083"/>
      <c r="AE286" s="1083"/>
      <c r="AF286" s="1083"/>
      <c r="AG286" s="1083"/>
      <c r="AH286" s="1083"/>
      <c r="AI286" s="1083"/>
      <c r="AJ286" s="1083"/>
      <c r="AK286" s="1083"/>
    </row>
    <row r="287" spans="1:37" x14ac:dyDescent="0.35">
      <c r="A287" s="484"/>
      <c r="B287" s="484"/>
      <c r="C287" s="484"/>
      <c r="D287" s="484"/>
      <c r="E287" s="484"/>
      <c r="F287" s="1277"/>
      <c r="G287" s="484"/>
      <c r="H287" s="484"/>
      <c r="I287" s="484"/>
      <c r="J287" s="484"/>
      <c r="K287" s="484"/>
      <c r="L287" s="484"/>
      <c r="M287" s="484"/>
      <c r="N287" s="484"/>
      <c r="O287" s="484"/>
      <c r="P287" s="484"/>
      <c r="Q287" s="484"/>
      <c r="R287" s="484"/>
      <c r="S287" s="484"/>
      <c r="T287" s="1083"/>
      <c r="U287" s="1311"/>
      <c r="V287" s="1083"/>
      <c r="W287" s="1083"/>
      <c r="X287" s="1083"/>
      <c r="Y287" s="1083"/>
      <c r="Z287" s="1083"/>
      <c r="AA287" s="1083"/>
      <c r="AB287" s="1083"/>
      <c r="AC287" s="1083"/>
      <c r="AD287" s="1083"/>
      <c r="AE287" s="1083"/>
      <c r="AF287" s="1083"/>
      <c r="AG287" s="1083"/>
      <c r="AH287" s="1083"/>
      <c r="AI287" s="1083"/>
      <c r="AJ287" s="1083"/>
      <c r="AK287" s="1083"/>
    </row>
    <row r="288" spans="1:37" x14ac:dyDescent="0.35">
      <c r="A288" s="484"/>
      <c r="B288" s="484"/>
      <c r="C288" s="484"/>
      <c r="D288" s="484"/>
      <c r="E288" s="484"/>
      <c r="F288" s="1277"/>
      <c r="G288" s="484"/>
      <c r="H288" s="484"/>
      <c r="I288" s="484"/>
      <c r="J288" s="484"/>
      <c r="K288" s="484"/>
      <c r="L288" s="484"/>
      <c r="M288" s="484"/>
      <c r="N288" s="484"/>
      <c r="O288" s="484"/>
      <c r="P288" s="484"/>
      <c r="Q288" s="484"/>
      <c r="R288" s="484"/>
      <c r="S288" s="484"/>
      <c r="T288" s="1083"/>
      <c r="U288" s="1311"/>
      <c r="V288" s="1083"/>
      <c r="W288" s="1083"/>
      <c r="X288" s="1083"/>
      <c r="Y288" s="1083"/>
      <c r="Z288" s="1083"/>
      <c r="AA288" s="1083"/>
      <c r="AB288" s="1083"/>
      <c r="AC288" s="1083"/>
      <c r="AD288" s="1083"/>
      <c r="AE288" s="1083"/>
      <c r="AF288" s="1083"/>
      <c r="AG288" s="1083"/>
      <c r="AH288" s="1083"/>
      <c r="AI288" s="1083"/>
      <c r="AJ288" s="1083"/>
      <c r="AK288" s="1083"/>
    </row>
    <row r="289" spans="1:37" x14ac:dyDescent="0.35">
      <c r="A289" s="484"/>
      <c r="B289" s="484"/>
      <c r="C289" s="484"/>
      <c r="D289" s="484"/>
      <c r="E289" s="484"/>
      <c r="F289" s="1277"/>
      <c r="G289" s="484"/>
      <c r="H289" s="484"/>
      <c r="I289" s="484"/>
      <c r="J289" s="484"/>
      <c r="K289" s="484"/>
      <c r="L289" s="484"/>
      <c r="M289" s="484"/>
      <c r="N289" s="484"/>
      <c r="O289" s="484"/>
      <c r="P289" s="484"/>
      <c r="Q289" s="484"/>
      <c r="R289" s="484"/>
      <c r="S289" s="484"/>
      <c r="T289" s="1083"/>
      <c r="U289" s="1311"/>
      <c r="V289" s="1083"/>
      <c r="W289" s="1083"/>
      <c r="X289" s="1083"/>
      <c r="Y289" s="1083"/>
      <c r="Z289" s="1083"/>
      <c r="AA289" s="1083"/>
      <c r="AB289" s="1083"/>
      <c r="AC289" s="1083"/>
      <c r="AD289" s="1083"/>
      <c r="AE289" s="1083"/>
      <c r="AF289" s="1083"/>
      <c r="AG289" s="1083"/>
      <c r="AH289" s="1083"/>
      <c r="AI289" s="1083"/>
      <c r="AJ289" s="1083"/>
      <c r="AK289" s="1083"/>
    </row>
    <row r="290" spans="1:37" x14ac:dyDescent="0.35">
      <c r="A290" s="484"/>
      <c r="B290" s="484"/>
      <c r="C290" s="484"/>
      <c r="D290" s="484"/>
      <c r="E290" s="484"/>
      <c r="F290" s="1277"/>
      <c r="G290" s="484"/>
      <c r="H290" s="484"/>
      <c r="I290" s="484"/>
      <c r="J290" s="484"/>
      <c r="K290" s="484"/>
      <c r="L290" s="484"/>
      <c r="M290" s="484"/>
      <c r="N290" s="484"/>
      <c r="O290" s="484"/>
      <c r="P290" s="484"/>
      <c r="Q290" s="484"/>
      <c r="R290" s="484"/>
      <c r="S290" s="484"/>
      <c r="T290" s="1083"/>
      <c r="U290" s="1311"/>
      <c r="V290" s="1083"/>
      <c r="W290" s="1083"/>
      <c r="X290" s="1083"/>
      <c r="Y290" s="1083"/>
      <c r="Z290" s="1083"/>
      <c r="AA290" s="1083"/>
      <c r="AB290" s="1083"/>
      <c r="AC290" s="1083"/>
      <c r="AD290" s="1083"/>
      <c r="AE290" s="1083"/>
      <c r="AF290" s="1083"/>
      <c r="AG290" s="1083"/>
      <c r="AH290" s="1083"/>
      <c r="AI290" s="1083"/>
      <c r="AJ290" s="1083"/>
      <c r="AK290" s="1083"/>
    </row>
    <row r="291" spans="1:37" x14ac:dyDescent="0.35">
      <c r="A291" s="484"/>
      <c r="B291" s="484"/>
      <c r="C291" s="484"/>
      <c r="D291" s="484"/>
      <c r="E291" s="484"/>
      <c r="F291" s="1277"/>
      <c r="G291" s="484"/>
      <c r="H291" s="484"/>
      <c r="I291" s="484"/>
      <c r="J291" s="484"/>
      <c r="K291" s="484"/>
      <c r="L291" s="484"/>
      <c r="M291" s="484"/>
      <c r="N291" s="484"/>
      <c r="O291" s="484"/>
      <c r="P291" s="484"/>
      <c r="Q291" s="484"/>
      <c r="R291" s="484"/>
      <c r="S291" s="484"/>
      <c r="T291" s="1083"/>
      <c r="U291" s="1311"/>
      <c r="V291" s="1083"/>
      <c r="W291" s="1083"/>
      <c r="X291" s="1083"/>
      <c r="Y291" s="1083"/>
      <c r="Z291" s="1083"/>
      <c r="AA291" s="1083"/>
      <c r="AB291" s="1083"/>
      <c r="AC291" s="1083"/>
      <c r="AD291" s="1083"/>
      <c r="AE291" s="1083"/>
      <c r="AF291" s="1083"/>
      <c r="AG291" s="1083"/>
      <c r="AH291" s="1083"/>
      <c r="AI291" s="1083"/>
      <c r="AJ291" s="1083"/>
      <c r="AK291" s="1083"/>
    </row>
    <row r="292" spans="1:37" x14ac:dyDescent="0.35">
      <c r="A292" s="484"/>
      <c r="B292" s="484"/>
      <c r="C292" s="484"/>
      <c r="D292" s="484"/>
      <c r="E292" s="484"/>
      <c r="F292" s="1277"/>
      <c r="G292" s="484"/>
      <c r="H292" s="484"/>
      <c r="I292" s="484"/>
      <c r="J292" s="484"/>
      <c r="K292" s="484"/>
      <c r="L292" s="484"/>
      <c r="M292" s="484"/>
      <c r="N292" s="484"/>
      <c r="O292" s="484"/>
      <c r="P292" s="484"/>
      <c r="Q292" s="484"/>
      <c r="R292" s="484"/>
      <c r="S292" s="484"/>
      <c r="T292" s="1083"/>
      <c r="U292" s="1311"/>
      <c r="V292" s="1083"/>
      <c r="W292" s="1083"/>
      <c r="X292" s="1083"/>
      <c r="Y292" s="1083"/>
      <c r="Z292" s="1083"/>
      <c r="AA292" s="1083"/>
      <c r="AB292" s="1083"/>
      <c r="AC292" s="1083"/>
      <c r="AD292" s="1083"/>
      <c r="AE292" s="1083"/>
      <c r="AF292" s="1083"/>
      <c r="AG292" s="1083"/>
      <c r="AH292" s="1083"/>
      <c r="AI292" s="1083"/>
      <c r="AJ292" s="1083"/>
      <c r="AK292" s="1083"/>
    </row>
    <row r="293" spans="1:37" x14ac:dyDescent="0.35">
      <c r="A293" s="484"/>
      <c r="B293" s="484"/>
      <c r="C293" s="484"/>
      <c r="D293" s="484"/>
      <c r="E293" s="484"/>
      <c r="F293" s="1277"/>
      <c r="G293" s="484"/>
      <c r="H293" s="484"/>
      <c r="I293" s="484"/>
      <c r="J293" s="484"/>
      <c r="K293" s="484"/>
      <c r="L293" s="484"/>
      <c r="M293" s="484"/>
      <c r="N293" s="484"/>
      <c r="O293" s="484"/>
      <c r="P293" s="484"/>
      <c r="Q293" s="484"/>
      <c r="R293" s="484"/>
      <c r="S293" s="484"/>
      <c r="T293" s="1083"/>
      <c r="U293" s="1311"/>
      <c r="V293" s="1083"/>
      <c r="W293" s="1083"/>
      <c r="X293" s="1083"/>
      <c r="Y293" s="1083"/>
      <c r="Z293" s="1083"/>
      <c r="AA293" s="1083"/>
      <c r="AB293" s="1083"/>
      <c r="AC293" s="1083"/>
      <c r="AD293" s="1083"/>
      <c r="AE293" s="1083"/>
      <c r="AF293" s="1083"/>
      <c r="AG293" s="1083"/>
      <c r="AH293" s="1083"/>
      <c r="AI293" s="1083"/>
      <c r="AJ293" s="1083"/>
      <c r="AK293" s="1083"/>
    </row>
    <row r="294" spans="1:37" x14ac:dyDescent="0.35">
      <c r="A294" s="484"/>
      <c r="B294" s="484"/>
      <c r="C294" s="484"/>
      <c r="D294" s="484"/>
      <c r="E294" s="484"/>
      <c r="F294" s="1277"/>
      <c r="G294" s="484"/>
      <c r="H294" s="484"/>
      <c r="I294" s="484"/>
      <c r="J294" s="484"/>
      <c r="K294" s="484"/>
      <c r="L294" s="484"/>
      <c r="M294" s="484"/>
      <c r="N294" s="484"/>
      <c r="O294" s="484"/>
      <c r="P294" s="484"/>
      <c r="Q294" s="484"/>
      <c r="R294" s="484"/>
      <c r="S294" s="484"/>
      <c r="T294" s="1083"/>
      <c r="U294" s="1311"/>
      <c r="V294" s="1083"/>
      <c r="W294" s="1083"/>
      <c r="X294" s="1083"/>
      <c r="Y294" s="1083"/>
      <c r="Z294" s="1083"/>
      <c r="AA294" s="1083"/>
      <c r="AB294" s="1083"/>
      <c r="AC294" s="1083"/>
      <c r="AD294" s="1083"/>
      <c r="AE294" s="1083"/>
      <c r="AF294" s="1083"/>
      <c r="AG294" s="1083"/>
      <c r="AH294" s="1083"/>
      <c r="AI294" s="1083"/>
      <c r="AJ294" s="1083"/>
      <c r="AK294" s="1083"/>
    </row>
    <row r="295" spans="1:37" x14ac:dyDescent="0.35">
      <c r="A295" s="484"/>
      <c r="B295" s="484"/>
      <c r="C295" s="484"/>
      <c r="D295" s="484"/>
      <c r="E295" s="484"/>
      <c r="F295" s="1277"/>
      <c r="G295" s="484"/>
      <c r="H295" s="484"/>
      <c r="I295" s="484"/>
      <c r="J295" s="484"/>
      <c r="K295" s="484"/>
      <c r="L295" s="484"/>
      <c r="M295" s="484"/>
      <c r="N295" s="484"/>
      <c r="O295" s="484"/>
      <c r="P295" s="484"/>
      <c r="Q295" s="484"/>
      <c r="R295" s="484"/>
      <c r="S295" s="484"/>
      <c r="T295" s="1083"/>
      <c r="U295" s="1311"/>
      <c r="V295" s="1083"/>
      <c r="W295" s="1083"/>
      <c r="X295" s="1083"/>
      <c r="Y295" s="1083"/>
      <c r="Z295" s="1083"/>
      <c r="AA295" s="1083"/>
      <c r="AB295" s="1083"/>
      <c r="AC295" s="1083"/>
      <c r="AD295" s="1083"/>
      <c r="AE295" s="1083"/>
      <c r="AF295" s="1083"/>
      <c r="AG295" s="1083"/>
      <c r="AH295" s="1083"/>
      <c r="AI295" s="1083"/>
      <c r="AJ295" s="1083"/>
      <c r="AK295" s="1083"/>
    </row>
    <row r="296" spans="1:37" x14ac:dyDescent="0.35">
      <c r="A296" s="484"/>
      <c r="B296" s="484"/>
      <c r="C296" s="484"/>
      <c r="D296" s="484"/>
      <c r="E296" s="484"/>
      <c r="F296" s="1277"/>
      <c r="G296" s="484"/>
      <c r="H296" s="484"/>
      <c r="I296" s="484"/>
      <c r="J296" s="484"/>
      <c r="K296" s="484"/>
      <c r="L296" s="484"/>
      <c r="M296" s="484"/>
      <c r="N296" s="484"/>
      <c r="O296" s="484"/>
      <c r="P296" s="484"/>
      <c r="Q296" s="484"/>
      <c r="R296" s="484"/>
      <c r="S296" s="484"/>
      <c r="T296" s="1083"/>
      <c r="U296" s="1311"/>
      <c r="V296" s="1083"/>
      <c r="W296" s="1083"/>
      <c r="X296" s="1083"/>
      <c r="Y296" s="1083"/>
      <c r="Z296" s="1083"/>
      <c r="AA296" s="1083"/>
      <c r="AB296" s="1083"/>
      <c r="AC296" s="1083"/>
      <c r="AD296" s="1083"/>
      <c r="AE296" s="1083"/>
      <c r="AF296" s="1083"/>
      <c r="AG296" s="1083"/>
      <c r="AH296" s="1083"/>
      <c r="AI296" s="1083"/>
      <c r="AJ296" s="1083"/>
      <c r="AK296" s="1083"/>
    </row>
    <row r="297" spans="1:37" x14ac:dyDescent="0.35">
      <c r="A297" s="484"/>
      <c r="B297" s="484"/>
      <c r="C297" s="484"/>
      <c r="D297" s="484"/>
      <c r="E297" s="484"/>
      <c r="F297" s="1277"/>
      <c r="G297" s="484"/>
      <c r="H297" s="484"/>
      <c r="I297" s="484"/>
      <c r="J297" s="484"/>
      <c r="K297" s="484"/>
      <c r="L297" s="484"/>
      <c r="M297" s="484"/>
      <c r="N297" s="484"/>
      <c r="O297" s="484"/>
      <c r="P297" s="484"/>
      <c r="Q297" s="484"/>
      <c r="R297" s="484"/>
      <c r="S297" s="484"/>
      <c r="T297" s="1083"/>
      <c r="U297" s="1311"/>
      <c r="V297" s="1083"/>
      <c r="W297" s="1083"/>
      <c r="X297" s="1083"/>
      <c r="Y297" s="1083"/>
      <c r="Z297" s="1083"/>
      <c r="AA297" s="1083"/>
      <c r="AB297" s="1083"/>
      <c r="AC297" s="1083"/>
      <c r="AD297" s="1083"/>
      <c r="AE297" s="1083"/>
      <c r="AF297" s="1083"/>
      <c r="AG297" s="1083"/>
      <c r="AH297" s="1083"/>
      <c r="AI297" s="1083"/>
      <c r="AJ297" s="1083"/>
      <c r="AK297" s="1083"/>
    </row>
    <row r="298" spans="1:37" x14ac:dyDescent="0.35">
      <c r="A298" s="484"/>
      <c r="B298" s="484"/>
      <c r="C298" s="484"/>
      <c r="D298" s="484"/>
      <c r="E298" s="484"/>
      <c r="F298" s="1277"/>
      <c r="G298" s="484"/>
      <c r="H298" s="484"/>
      <c r="I298" s="484"/>
      <c r="J298" s="484"/>
      <c r="K298" s="484"/>
      <c r="L298" s="484"/>
      <c r="M298" s="484"/>
      <c r="N298" s="484"/>
      <c r="O298" s="484"/>
      <c r="P298" s="484"/>
      <c r="Q298" s="484"/>
      <c r="R298" s="484"/>
      <c r="S298" s="484"/>
      <c r="T298" s="1083"/>
      <c r="U298" s="1311"/>
      <c r="V298" s="1083"/>
      <c r="W298" s="1083"/>
      <c r="X298" s="1083"/>
      <c r="Y298" s="1083"/>
      <c r="Z298" s="1083"/>
      <c r="AA298" s="1083"/>
      <c r="AB298" s="1083"/>
      <c r="AC298" s="1083"/>
      <c r="AD298" s="1083"/>
      <c r="AE298" s="1083"/>
      <c r="AF298" s="1083"/>
      <c r="AG298" s="1083"/>
      <c r="AH298" s="1083"/>
      <c r="AI298" s="1083"/>
      <c r="AJ298" s="1083"/>
      <c r="AK298" s="1083"/>
    </row>
    <row r="299" spans="1:37" x14ac:dyDescent="0.35">
      <c r="A299" s="484"/>
      <c r="B299" s="484"/>
      <c r="C299" s="484"/>
      <c r="D299" s="484"/>
      <c r="E299" s="484"/>
      <c r="F299" s="1277"/>
      <c r="G299" s="484"/>
      <c r="H299" s="484"/>
      <c r="I299" s="484"/>
      <c r="J299" s="484"/>
      <c r="K299" s="484"/>
      <c r="L299" s="484"/>
      <c r="M299" s="484"/>
      <c r="N299" s="484"/>
      <c r="O299" s="484"/>
      <c r="P299" s="484"/>
      <c r="Q299" s="484"/>
      <c r="R299" s="484"/>
      <c r="S299" s="484"/>
      <c r="T299" s="1083"/>
      <c r="U299" s="1311"/>
      <c r="V299" s="1083"/>
      <c r="W299" s="1083"/>
      <c r="X299" s="1083"/>
      <c r="Y299" s="1083"/>
      <c r="Z299" s="1083"/>
      <c r="AA299" s="1083"/>
      <c r="AB299" s="1083"/>
      <c r="AC299" s="1083"/>
      <c r="AD299" s="1083"/>
      <c r="AE299" s="1083"/>
      <c r="AF299" s="1083"/>
      <c r="AG299" s="1083"/>
      <c r="AH299" s="1083"/>
      <c r="AI299" s="1083"/>
      <c r="AJ299" s="1083"/>
      <c r="AK299" s="1083"/>
    </row>
    <row r="300" spans="1:37" x14ac:dyDescent="0.35">
      <c r="A300" s="484"/>
      <c r="B300" s="484"/>
      <c r="C300" s="484"/>
      <c r="D300" s="484"/>
      <c r="E300" s="484"/>
      <c r="F300" s="1277"/>
      <c r="G300" s="484"/>
      <c r="H300" s="484"/>
      <c r="I300" s="484"/>
      <c r="J300" s="484"/>
      <c r="K300" s="484"/>
      <c r="L300" s="484"/>
      <c r="M300" s="484"/>
      <c r="N300" s="484"/>
      <c r="O300" s="484"/>
      <c r="P300" s="484"/>
      <c r="Q300" s="484"/>
      <c r="R300" s="484"/>
      <c r="S300" s="484"/>
      <c r="T300" s="1083"/>
      <c r="U300" s="1311"/>
      <c r="V300" s="1083"/>
      <c r="W300" s="1083"/>
      <c r="X300" s="1083"/>
      <c r="Y300" s="1083"/>
      <c r="Z300" s="1083"/>
      <c r="AA300" s="1083"/>
      <c r="AB300" s="1083"/>
      <c r="AC300" s="1083"/>
      <c r="AD300" s="1083"/>
      <c r="AE300" s="1083"/>
      <c r="AF300" s="1083"/>
      <c r="AG300" s="1083"/>
      <c r="AH300" s="1083"/>
      <c r="AI300" s="1083"/>
      <c r="AJ300" s="1083"/>
      <c r="AK300" s="1083"/>
    </row>
    <row r="301" spans="1:37" x14ac:dyDescent="0.35">
      <c r="A301" s="484"/>
      <c r="B301" s="484"/>
      <c r="C301" s="484"/>
      <c r="D301" s="484"/>
      <c r="E301" s="484"/>
      <c r="F301" s="1277"/>
      <c r="G301" s="484"/>
      <c r="H301" s="484"/>
      <c r="I301" s="484"/>
      <c r="J301" s="484"/>
      <c r="K301" s="484"/>
      <c r="L301" s="484"/>
      <c r="M301" s="484"/>
      <c r="N301" s="484"/>
      <c r="O301" s="484"/>
      <c r="P301" s="484"/>
      <c r="Q301" s="484"/>
      <c r="R301" s="484"/>
      <c r="S301" s="484"/>
      <c r="T301" s="1083"/>
      <c r="U301" s="1311"/>
      <c r="V301" s="1083"/>
      <c r="W301" s="1083"/>
      <c r="X301" s="1083"/>
      <c r="Y301" s="1083"/>
      <c r="Z301" s="1083"/>
      <c r="AA301" s="1083"/>
      <c r="AB301" s="1083"/>
      <c r="AC301" s="1083"/>
      <c r="AD301" s="1083"/>
      <c r="AE301" s="1083"/>
      <c r="AF301" s="1083"/>
      <c r="AG301" s="1083"/>
      <c r="AH301" s="1083"/>
      <c r="AI301" s="1083"/>
      <c r="AJ301" s="1083"/>
      <c r="AK301" s="1083"/>
    </row>
    <row r="302" spans="1:37" x14ac:dyDescent="0.35">
      <c r="A302" s="484"/>
      <c r="B302" s="484"/>
      <c r="C302" s="484"/>
      <c r="D302" s="484"/>
      <c r="E302" s="484"/>
      <c r="F302" s="1277"/>
      <c r="G302" s="484"/>
      <c r="H302" s="484"/>
      <c r="I302" s="484"/>
      <c r="J302" s="484"/>
      <c r="K302" s="484"/>
      <c r="L302" s="484"/>
      <c r="M302" s="484"/>
      <c r="N302" s="484"/>
      <c r="O302" s="484"/>
      <c r="P302" s="484"/>
      <c r="Q302" s="484"/>
      <c r="R302" s="484"/>
      <c r="S302" s="484"/>
      <c r="T302" s="1083"/>
      <c r="U302" s="1311"/>
      <c r="V302" s="1083"/>
      <c r="W302" s="1083"/>
      <c r="X302" s="1083"/>
      <c r="Y302" s="1083"/>
      <c r="Z302" s="1083"/>
      <c r="AA302" s="1083"/>
      <c r="AB302" s="1083"/>
      <c r="AC302" s="1083"/>
      <c r="AD302" s="1083"/>
      <c r="AE302" s="1083"/>
      <c r="AF302" s="1083"/>
      <c r="AG302" s="1083"/>
      <c r="AH302" s="1083"/>
      <c r="AI302" s="1083"/>
      <c r="AJ302" s="1083"/>
      <c r="AK302" s="1083"/>
    </row>
    <row r="303" spans="1:37" x14ac:dyDescent="0.35">
      <c r="A303" s="484"/>
      <c r="B303" s="484"/>
      <c r="C303" s="484"/>
      <c r="D303" s="484"/>
      <c r="E303" s="484"/>
      <c r="F303" s="1277"/>
      <c r="G303" s="484"/>
      <c r="H303" s="484"/>
      <c r="I303" s="484"/>
      <c r="J303" s="484"/>
      <c r="K303" s="484"/>
      <c r="L303" s="484"/>
      <c r="M303" s="484"/>
      <c r="N303" s="484"/>
      <c r="O303" s="484"/>
      <c r="P303" s="484"/>
      <c r="Q303" s="484"/>
      <c r="R303" s="484"/>
      <c r="S303" s="484"/>
      <c r="T303" s="1083"/>
      <c r="U303" s="1311"/>
      <c r="V303" s="1083"/>
      <c r="W303" s="1083"/>
      <c r="X303" s="1083"/>
      <c r="Y303" s="1083"/>
      <c r="Z303" s="1083"/>
      <c r="AA303" s="1083"/>
      <c r="AB303" s="1083"/>
      <c r="AC303" s="1083"/>
      <c r="AD303" s="1083"/>
      <c r="AE303" s="1083"/>
      <c r="AF303" s="1083"/>
      <c r="AG303" s="1083"/>
      <c r="AH303" s="1083"/>
      <c r="AI303" s="1083"/>
      <c r="AJ303" s="1083"/>
      <c r="AK303" s="1083"/>
    </row>
    <row r="304" spans="1:37" x14ac:dyDescent="0.35">
      <c r="A304" s="484"/>
      <c r="B304" s="484"/>
      <c r="C304" s="484"/>
      <c r="D304" s="484"/>
      <c r="E304" s="484"/>
      <c r="F304" s="1277"/>
      <c r="G304" s="484"/>
      <c r="H304" s="484"/>
      <c r="I304" s="484"/>
      <c r="J304" s="484"/>
      <c r="K304" s="484"/>
      <c r="L304" s="484"/>
      <c r="M304" s="484"/>
      <c r="N304" s="484"/>
      <c r="O304" s="484"/>
      <c r="P304" s="484"/>
      <c r="Q304" s="484"/>
      <c r="R304" s="484"/>
      <c r="S304" s="484"/>
      <c r="T304" s="1083"/>
      <c r="U304" s="1311"/>
      <c r="V304" s="1083"/>
      <c r="W304" s="1083"/>
      <c r="X304" s="1083"/>
      <c r="Y304" s="1083"/>
      <c r="Z304" s="1083"/>
      <c r="AA304" s="1083"/>
      <c r="AB304" s="1083"/>
      <c r="AC304" s="1083"/>
      <c r="AD304" s="1083"/>
      <c r="AE304" s="1083"/>
      <c r="AF304" s="1083"/>
      <c r="AG304" s="1083"/>
      <c r="AH304" s="1083"/>
      <c r="AI304" s="1083"/>
      <c r="AJ304" s="1083"/>
      <c r="AK304" s="1083"/>
    </row>
    <row r="305" spans="1:37" x14ac:dyDescent="0.35">
      <c r="A305" s="484"/>
      <c r="B305" s="484"/>
      <c r="C305" s="484"/>
      <c r="D305" s="484"/>
      <c r="E305" s="484"/>
      <c r="F305" s="1277"/>
      <c r="G305" s="484"/>
      <c r="H305" s="484"/>
      <c r="I305" s="484"/>
      <c r="J305" s="484"/>
      <c r="K305" s="484"/>
      <c r="L305" s="484"/>
      <c r="M305" s="484"/>
      <c r="N305" s="484"/>
      <c r="O305" s="484"/>
      <c r="P305" s="484"/>
      <c r="Q305" s="484"/>
      <c r="R305" s="484"/>
      <c r="S305" s="484"/>
      <c r="T305" s="1083"/>
      <c r="U305" s="1311"/>
      <c r="V305" s="1083"/>
      <c r="W305" s="1083"/>
      <c r="X305" s="1083"/>
      <c r="Y305" s="1083"/>
      <c r="Z305" s="1083"/>
      <c r="AA305" s="1083"/>
      <c r="AB305" s="1083"/>
      <c r="AC305" s="1083"/>
      <c r="AD305" s="1083"/>
      <c r="AE305" s="1083"/>
      <c r="AF305" s="1083"/>
      <c r="AG305" s="1083"/>
      <c r="AH305" s="1083"/>
      <c r="AI305" s="1083"/>
      <c r="AJ305" s="1083"/>
      <c r="AK305" s="1083"/>
    </row>
    <row r="306" spans="1:37" x14ac:dyDescent="0.35">
      <c r="A306" s="484"/>
      <c r="B306" s="484"/>
      <c r="C306" s="484"/>
      <c r="D306" s="484"/>
      <c r="E306" s="484"/>
      <c r="F306" s="1277"/>
      <c r="G306" s="484"/>
      <c r="H306" s="484"/>
      <c r="I306" s="484"/>
      <c r="J306" s="484"/>
      <c r="K306" s="484"/>
      <c r="L306" s="484"/>
      <c r="M306" s="484"/>
      <c r="N306" s="484"/>
      <c r="O306" s="484"/>
      <c r="P306" s="484"/>
      <c r="Q306" s="484"/>
      <c r="R306" s="484"/>
      <c r="S306" s="484"/>
      <c r="T306" s="1083"/>
      <c r="U306" s="1311"/>
      <c r="V306" s="1083"/>
      <c r="W306" s="1083"/>
      <c r="X306" s="1083"/>
      <c r="Y306" s="1083"/>
      <c r="Z306" s="1083"/>
      <c r="AA306" s="1083"/>
      <c r="AB306" s="1083"/>
      <c r="AC306" s="1083"/>
      <c r="AD306" s="1083"/>
      <c r="AE306" s="1083"/>
      <c r="AF306" s="1083"/>
      <c r="AG306" s="1083"/>
      <c r="AH306" s="1083"/>
      <c r="AI306" s="1083"/>
      <c r="AJ306" s="1083"/>
      <c r="AK306" s="1083"/>
    </row>
    <row r="307" spans="1:37" x14ac:dyDescent="0.35">
      <c r="A307" s="484"/>
      <c r="B307" s="484"/>
      <c r="C307" s="484"/>
      <c r="D307" s="484"/>
      <c r="E307" s="484"/>
      <c r="F307" s="1277"/>
      <c r="G307" s="484"/>
      <c r="H307" s="484"/>
      <c r="I307" s="484"/>
      <c r="J307" s="484"/>
      <c r="K307" s="484"/>
      <c r="L307" s="484"/>
      <c r="M307" s="484"/>
      <c r="N307" s="484"/>
      <c r="O307" s="484"/>
      <c r="P307" s="484"/>
      <c r="Q307" s="484"/>
      <c r="R307" s="484"/>
      <c r="S307" s="484"/>
      <c r="T307" s="1083"/>
      <c r="U307" s="1311"/>
      <c r="V307" s="1083"/>
      <c r="W307" s="1083"/>
      <c r="X307" s="1083"/>
      <c r="Y307" s="1083"/>
      <c r="Z307" s="1083"/>
      <c r="AA307" s="1083"/>
      <c r="AB307" s="1083"/>
      <c r="AC307" s="1083"/>
      <c r="AD307" s="1083"/>
      <c r="AE307" s="1083"/>
      <c r="AF307" s="1083"/>
      <c r="AG307" s="1083"/>
      <c r="AH307" s="1083"/>
      <c r="AI307" s="1083"/>
      <c r="AJ307" s="1083"/>
      <c r="AK307" s="1083"/>
    </row>
    <row r="308" spans="1:37" x14ac:dyDescent="0.35">
      <c r="A308" s="484"/>
      <c r="B308" s="484"/>
      <c r="C308" s="484"/>
      <c r="D308" s="484"/>
      <c r="I308" s="484"/>
      <c r="J308" s="484"/>
      <c r="K308" s="484"/>
      <c r="L308" s="484"/>
      <c r="M308" s="484"/>
      <c r="N308" s="484"/>
      <c r="O308" s="484"/>
      <c r="P308" s="484"/>
      <c r="Q308" s="484"/>
      <c r="R308" s="484"/>
      <c r="S308" s="484"/>
      <c r="T308" s="1083"/>
      <c r="U308" s="1311"/>
      <c r="V308" s="1083"/>
      <c r="W308" s="1083"/>
      <c r="X308" s="1083"/>
      <c r="Y308" s="1083"/>
      <c r="Z308" s="1083"/>
      <c r="AA308" s="1083"/>
      <c r="AB308" s="1083"/>
      <c r="AC308" s="1083"/>
      <c r="AD308" s="1083"/>
      <c r="AE308" s="1083"/>
      <c r="AF308" s="1083"/>
      <c r="AG308" s="1083"/>
      <c r="AH308" s="1083"/>
      <c r="AI308" s="1083"/>
      <c r="AJ308" s="1083"/>
      <c r="AK308" s="1083"/>
    </row>
    <row r="309" spans="1:37" x14ac:dyDescent="0.35">
      <c r="A309" s="484"/>
      <c r="B309" s="484"/>
      <c r="C309" s="484"/>
      <c r="D309" s="484"/>
      <c r="I309" s="484"/>
      <c r="J309" s="484"/>
      <c r="K309" s="484"/>
      <c r="L309" s="484"/>
      <c r="M309" s="484"/>
      <c r="N309" s="484"/>
      <c r="O309" s="484"/>
      <c r="P309" s="484"/>
      <c r="Q309" s="484"/>
      <c r="R309" s="484"/>
      <c r="S309" s="484"/>
      <c r="T309" s="1083"/>
      <c r="U309" s="1311"/>
      <c r="V309" s="1083"/>
      <c r="W309" s="1083"/>
      <c r="X309" s="1083"/>
      <c r="Y309" s="1083"/>
      <c r="Z309" s="1083"/>
      <c r="AA309" s="1083"/>
      <c r="AB309" s="1083"/>
      <c r="AC309" s="1083"/>
      <c r="AD309" s="1083"/>
      <c r="AE309" s="1083"/>
      <c r="AF309" s="1083"/>
      <c r="AG309" s="1083"/>
      <c r="AH309" s="1083"/>
      <c r="AI309" s="1083"/>
      <c r="AJ309" s="1083"/>
      <c r="AK309" s="1083"/>
    </row>
  </sheetData>
  <sheetProtection algorithmName="SHA-512" hashValue="4GDEFT4wxfp6xLei9/5gJmFA2YZTJfoumMdVCDA9abhZhr4XDtUqesWQUEPiYOK923Q9d1dsYn+1V6f3eaX31A==" saltValue="oD48GYD9vBmBu6WwhTaJdw==" spinCount="100000" sheet="1" objects="1" scenarios="1"/>
  <mergeCells count="21">
    <mergeCell ref="J82:P83"/>
    <mergeCell ref="R21:S22"/>
    <mergeCell ref="E3:G3"/>
    <mergeCell ref="D4:H4"/>
    <mergeCell ref="D21:H21"/>
    <mergeCell ref="D12:H12"/>
    <mergeCell ref="E49:F49"/>
    <mergeCell ref="J66:P67"/>
    <mergeCell ref="B12:B19"/>
    <mergeCell ref="B112:B120"/>
    <mergeCell ref="D112:H112"/>
    <mergeCell ref="E114:G119"/>
    <mergeCell ref="B47:B64"/>
    <mergeCell ref="D47:H47"/>
    <mergeCell ref="B21:B45"/>
    <mergeCell ref="B82:B110"/>
    <mergeCell ref="B75:B80"/>
    <mergeCell ref="B66:B73"/>
    <mergeCell ref="D66:H66"/>
    <mergeCell ref="D75:H75"/>
    <mergeCell ref="D82:H82"/>
  </mergeCells>
  <conditionalFormatting sqref="E49">
    <cfRule type="expression" dxfId="0" priority="1">
      <formula>$F$50=0</formula>
    </cfRule>
  </conditionalFormatting>
  <dataValidations count="8">
    <dataValidation type="list" allowBlank="1" showErrorMessage="1" sqref="F55:F62 F26:F27 F36:F42" xr:uid="{00000000-0002-0000-0800-000000000000}">
      <formula1>"Yes,No"</formula1>
    </dataValidation>
    <dataValidation type="list" allowBlank="1" showErrorMessage="1" sqref="F78" xr:uid="{00000000-0002-0000-0800-000002000000}">
      <formula1>"Measured,Estimated"</formula1>
    </dataValidation>
    <dataValidation type="list" allowBlank="1" showInputMessage="1" showErrorMessage="1" sqref="F23" xr:uid="{0B30282E-3262-42C0-9A25-4D56EED883E2}">
      <formula1>"Athena, Build Carbon Neutral, CARE, Epic, GaBi, One Click LCA, Tally, Other"</formula1>
    </dataValidation>
    <dataValidation type="list" allowBlank="1" showErrorMessage="1" sqref="F44" xr:uid="{6E39B147-4867-4573-AF06-8129526BB0DB}">
      <formula1>Structural_System_Headers</formula1>
    </dataValidation>
    <dataValidation allowBlank="1" showInputMessage="1" showErrorMessage="1" prompt="For hybrid structural systems consider using a weighted average from the reasonable ranges table for carbon emissions by system type. " sqref="E44" xr:uid="{149DC7E1-00DF-4CEE-AF23-27799EB48B3F}"/>
    <dataValidation allowBlank="1" showInputMessage="1" showErrorMessage="1" promptTitle="Biogenic Carbon" prompt="Some tools will include biogenic carbon in embodied carbon emission calculations. If your tool includes biogenic carbon calculations, then you should answer yes. If it does not, then select no. " sqref="E26" xr:uid="{875DBF40-09FD-406A-80CC-523C7A1F48E7}"/>
    <dataValidation type="list" allowBlank="1" showInputMessage="1" showErrorMessage="1" sqref="F88" xr:uid="{C1477927-263B-4BEF-82AD-31F427689E0F}">
      <formula1>"Estimated,Actual"</formula1>
    </dataValidation>
    <dataValidation type="decimal" allowBlank="1" showInputMessage="1" showErrorMessage="1" error="Numerical input as decimal or whole number only. Cells will autoformat as currency or percent where applicable. " sqref="F14 F50 F69:F71 F77 F85:F86 F91 F95 F99 F103 F107" xr:uid="{6B27A42C-AE52-4A41-8429-C278FA2EF5F2}">
      <formula1>0</formula1>
      <formula2>100000000000</formula2>
    </dataValidation>
  </dataValidations>
  <hyperlinks>
    <hyperlink ref="R23" r:id="rId1" xr:uid="{78185338-EE1F-47DA-8413-001D750EA438}"/>
    <hyperlink ref="R47" r:id="rId2" xr:uid="{D8586AEB-2A5E-48FB-8C35-DE6BEFBF970C}"/>
    <hyperlink ref="R48" r:id="rId3" xr:uid="{87101FF8-93F5-49DB-907A-D9B5163EF1F9}"/>
    <hyperlink ref="R49" r:id="rId4" xr:uid="{B8B98F4B-60CC-43DF-AEE1-6347331FB13B}"/>
  </hyperlinks>
  <pageMargins left="0.7" right="0.7" top="0.75" bottom="0.75" header="0" footer="0"/>
  <pageSetup orientation="landscape" r:id="rId5"/>
  <drawing r:id="rId6"/>
  <legacyDrawing r:id="rId7"/>
  <mc:AlternateContent xmlns:mc="http://schemas.openxmlformats.org/markup-compatibility/2006">
    <mc:Choice Requires="x14">
      <controls>
        <mc:AlternateContent xmlns:mc="http://schemas.openxmlformats.org/markup-compatibility/2006">
          <mc:Choice Requires="x14">
            <control shapeId="10245" r:id="rId8" name="Check Box 5">
              <controlPr defaultSize="0" autoFill="0" autoLine="0" autoPict="0">
                <anchor moveWithCells="1">
                  <from>
                    <xdr:col>5</xdr:col>
                    <xdr:colOff>25400</xdr:colOff>
                    <xdr:row>28</xdr:row>
                    <xdr:rowOff>152400</xdr:rowOff>
                  </from>
                  <to>
                    <xdr:col>5</xdr:col>
                    <xdr:colOff>444500</xdr:colOff>
                    <xdr:row>30</xdr:row>
                    <xdr:rowOff>25400</xdr:rowOff>
                  </to>
                </anchor>
              </controlPr>
            </control>
          </mc:Choice>
        </mc:AlternateContent>
        <mc:AlternateContent xmlns:mc="http://schemas.openxmlformats.org/markup-compatibility/2006">
          <mc:Choice Requires="x14">
            <control shapeId="10246" r:id="rId9" name="Check Box 6">
              <controlPr defaultSize="0" autoFill="0" autoLine="0" autoPict="0">
                <anchor moveWithCells="1">
                  <from>
                    <xdr:col>5</xdr:col>
                    <xdr:colOff>457200</xdr:colOff>
                    <xdr:row>28</xdr:row>
                    <xdr:rowOff>152400</xdr:rowOff>
                  </from>
                  <to>
                    <xdr:col>5</xdr:col>
                    <xdr:colOff>844550</xdr:colOff>
                    <xdr:row>30</xdr:row>
                    <xdr:rowOff>25400</xdr:rowOff>
                  </to>
                </anchor>
              </controlPr>
            </control>
          </mc:Choice>
        </mc:AlternateContent>
        <mc:AlternateContent xmlns:mc="http://schemas.openxmlformats.org/markup-compatibility/2006">
          <mc:Choice Requires="x14">
            <control shapeId="10249" r:id="rId10" name="Check Box 9">
              <controlPr defaultSize="0" autoFill="0" autoLine="0" autoPict="0">
                <anchor moveWithCells="1">
                  <from>
                    <xdr:col>5</xdr:col>
                    <xdr:colOff>901700</xdr:colOff>
                    <xdr:row>28</xdr:row>
                    <xdr:rowOff>152400</xdr:rowOff>
                  </from>
                  <to>
                    <xdr:col>5</xdr:col>
                    <xdr:colOff>1295400</xdr:colOff>
                    <xdr:row>30</xdr:row>
                    <xdr:rowOff>25400</xdr:rowOff>
                  </to>
                </anchor>
              </controlPr>
            </control>
          </mc:Choice>
        </mc:AlternateContent>
        <mc:AlternateContent xmlns:mc="http://schemas.openxmlformats.org/markup-compatibility/2006">
          <mc:Choice Requires="x14">
            <control shapeId="10250" r:id="rId11" name="Check Box 10">
              <controlPr defaultSize="0" autoFill="0" autoLine="0" autoPict="0">
                <anchor moveWithCells="1">
                  <from>
                    <xdr:col>5</xdr:col>
                    <xdr:colOff>25400</xdr:colOff>
                    <xdr:row>29</xdr:row>
                    <xdr:rowOff>158750</xdr:rowOff>
                  </from>
                  <to>
                    <xdr:col>5</xdr:col>
                    <xdr:colOff>444500</xdr:colOff>
                    <xdr:row>31</xdr:row>
                    <xdr:rowOff>25400</xdr:rowOff>
                  </to>
                </anchor>
              </controlPr>
            </control>
          </mc:Choice>
        </mc:AlternateContent>
        <mc:AlternateContent xmlns:mc="http://schemas.openxmlformats.org/markup-compatibility/2006">
          <mc:Choice Requires="x14">
            <control shapeId="10251" r:id="rId12" name="Check Box 11">
              <controlPr defaultSize="0" autoFill="0" autoLine="0" autoPict="0">
                <anchor moveWithCells="1">
                  <from>
                    <xdr:col>5</xdr:col>
                    <xdr:colOff>457200</xdr:colOff>
                    <xdr:row>29</xdr:row>
                    <xdr:rowOff>152400</xdr:rowOff>
                  </from>
                  <to>
                    <xdr:col>5</xdr:col>
                    <xdr:colOff>863600</xdr:colOff>
                    <xdr:row>31</xdr:row>
                    <xdr:rowOff>25400</xdr:rowOff>
                  </to>
                </anchor>
              </controlPr>
            </control>
          </mc:Choice>
        </mc:AlternateContent>
        <mc:AlternateContent xmlns:mc="http://schemas.openxmlformats.org/markup-compatibility/2006">
          <mc:Choice Requires="x14">
            <control shapeId="10253" r:id="rId13" name="Check Box 13">
              <controlPr defaultSize="0" autoFill="0" autoLine="0" autoPict="0">
                <anchor moveWithCells="1">
                  <from>
                    <xdr:col>5</xdr:col>
                    <xdr:colOff>25400</xdr:colOff>
                    <xdr:row>30</xdr:row>
                    <xdr:rowOff>158750</xdr:rowOff>
                  </from>
                  <to>
                    <xdr:col>5</xdr:col>
                    <xdr:colOff>444500</xdr:colOff>
                    <xdr:row>32</xdr:row>
                    <xdr:rowOff>25400</xdr:rowOff>
                  </to>
                </anchor>
              </controlPr>
            </control>
          </mc:Choice>
        </mc:AlternateContent>
        <mc:AlternateContent xmlns:mc="http://schemas.openxmlformats.org/markup-compatibility/2006">
          <mc:Choice Requires="x14">
            <control shapeId="10254" r:id="rId14" name="Check Box 14">
              <controlPr defaultSize="0" autoFill="0" autoLine="0" autoPict="0">
                <anchor moveWithCells="1">
                  <from>
                    <xdr:col>5</xdr:col>
                    <xdr:colOff>457200</xdr:colOff>
                    <xdr:row>30</xdr:row>
                    <xdr:rowOff>177800</xdr:rowOff>
                  </from>
                  <to>
                    <xdr:col>5</xdr:col>
                    <xdr:colOff>844550</xdr:colOff>
                    <xdr:row>32</xdr:row>
                    <xdr:rowOff>25400</xdr:rowOff>
                  </to>
                </anchor>
              </controlPr>
            </control>
          </mc:Choice>
        </mc:AlternateContent>
        <mc:AlternateContent xmlns:mc="http://schemas.openxmlformats.org/markup-compatibility/2006">
          <mc:Choice Requires="x14">
            <control shapeId="10255" r:id="rId15" name="Check Box 15">
              <controlPr defaultSize="0" autoFill="0" autoLine="0" autoPict="0">
                <anchor moveWithCells="1">
                  <from>
                    <xdr:col>5</xdr:col>
                    <xdr:colOff>901700</xdr:colOff>
                    <xdr:row>30</xdr:row>
                    <xdr:rowOff>177800</xdr:rowOff>
                  </from>
                  <to>
                    <xdr:col>5</xdr:col>
                    <xdr:colOff>1295400</xdr:colOff>
                    <xdr:row>32</xdr:row>
                    <xdr:rowOff>25400</xdr:rowOff>
                  </to>
                </anchor>
              </controlPr>
            </control>
          </mc:Choice>
        </mc:AlternateContent>
        <mc:AlternateContent xmlns:mc="http://schemas.openxmlformats.org/markup-compatibility/2006">
          <mc:Choice Requires="x14">
            <control shapeId="10256" r:id="rId16" name="Check Box 16">
              <controlPr defaultSize="0" autoFill="0" autoLine="0" autoPict="0">
                <anchor moveWithCells="1">
                  <from>
                    <xdr:col>5</xdr:col>
                    <xdr:colOff>25400</xdr:colOff>
                    <xdr:row>31</xdr:row>
                    <xdr:rowOff>158750</xdr:rowOff>
                  </from>
                  <to>
                    <xdr:col>5</xdr:col>
                    <xdr:colOff>444500</xdr:colOff>
                    <xdr:row>33</xdr:row>
                    <xdr:rowOff>25400</xdr:rowOff>
                  </to>
                </anchor>
              </controlPr>
            </control>
          </mc:Choice>
        </mc:AlternateContent>
        <mc:AlternateContent xmlns:mc="http://schemas.openxmlformats.org/markup-compatibility/2006">
          <mc:Choice Requires="x14">
            <control shapeId="10257" r:id="rId17" name="Check Box 17">
              <controlPr defaultSize="0" autoFill="0" autoLine="0" autoPict="0">
                <anchor moveWithCells="1">
                  <from>
                    <xdr:col>5</xdr:col>
                    <xdr:colOff>457200</xdr:colOff>
                    <xdr:row>31</xdr:row>
                    <xdr:rowOff>177800</xdr:rowOff>
                  </from>
                  <to>
                    <xdr:col>5</xdr:col>
                    <xdr:colOff>863600</xdr:colOff>
                    <xdr:row>33</xdr:row>
                    <xdr:rowOff>31750</xdr:rowOff>
                  </to>
                </anchor>
              </controlPr>
            </control>
          </mc:Choice>
        </mc:AlternateContent>
        <mc:AlternateContent xmlns:mc="http://schemas.openxmlformats.org/markup-compatibility/2006">
          <mc:Choice Requires="x14">
            <control shapeId="10258" r:id="rId18" name="Check Box 18">
              <controlPr defaultSize="0" autoFill="0" autoLine="0" autoPict="0">
                <anchor moveWithCells="1">
                  <from>
                    <xdr:col>5</xdr:col>
                    <xdr:colOff>901700</xdr:colOff>
                    <xdr:row>31</xdr:row>
                    <xdr:rowOff>177800</xdr:rowOff>
                  </from>
                  <to>
                    <xdr:col>5</xdr:col>
                    <xdr:colOff>1295400</xdr:colOff>
                    <xdr:row>33</xdr:row>
                    <xdr:rowOff>31750</xdr:rowOff>
                  </to>
                </anchor>
              </controlPr>
            </control>
          </mc:Choice>
        </mc:AlternateContent>
        <mc:AlternateContent xmlns:mc="http://schemas.openxmlformats.org/markup-compatibility/2006">
          <mc:Choice Requires="x14">
            <control shapeId="10259" r:id="rId19" name="Check Box 19">
              <controlPr defaultSize="0" autoFill="0" autoLine="0" autoPict="0">
                <anchor moveWithCells="1">
                  <from>
                    <xdr:col>5</xdr:col>
                    <xdr:colOff>25400</xdr:colOff>
                    <xdr:row>32</xdr:row>
                    <xdr:rowOff>152400</xdr:rowOff>
                  </from>
                  <to>
                    <xdr:col>5</xdr:col>
                    <xdr:colOff>444500</xdr:colOff>
                    <xdr:row>34</xdr:row>
                    <xdr:rowOff>25400</xdr:rowOff>
                  </to>
                </anchor>
              </controlPr>
            </control>
          </mc:Choice>
        </mc:AlternateContent>
        <mc:AlternateContent xmlns:mc="http://schemas.openxmlformats.org/markup-compatibility/2006">
          <mc:Choice Requires="x14">
            <control shapeId="10260" r:id="rId20" name="Check Box 20">
              <controlPr defaultSize="0" autoFill="0" autoLine="0" autoPict="0">
                <anchor moveWithCells="1">
                  <from>
                    <xdr:col>5</xdr:col>
                    <xdr:colOff>1320800</xdr:colOff>
                    <xdr:row>30</xdr:row>
                    <xdr:rowOff>177800</xdr:rowOff>
                  </from>
                  <to>
                    <xdr:col>5</xdr:col>
                    <xdr:colOff>1701800</xdr:colOff>
                    <xdr:row>32</xdr:row>
                    <xdr:rowOff>25400</xdr:rowOff>
                  </to>
                </anchor>
              </controlPr>
            </control>
          </mc:Choice>
        </mc:AlternateContent>
        <mc:AlternateContent xmlns:mc="http://schemas.openxmlformats.org/markup-compatibility/2006">
          <mc:Choice Requires="x14">
            <control shapeId="10261" r:id="rId21" name="Check Box 21">
              <controlPr defaultSize="0" autoFill="0" autoLine="0" autoPict="0">
                <anchor moveWithCells="1">
                  <from>
                    <xdr:col>5</xdr:col>
                    <xdr:colOff>1739900</xdr:colOff>
                    <xdr:row>30</xdr:row>
                    <xdr:rowOff>158750</xdr:rowOff>
                  </from>
                  <to>
                    <xdr:col>6</xdr:col>
                    <xdr:colOff>31750</xdr:colOff>
                    <xdr:row>32</xdr:row>
                    <xdr:rowOff>25400</xdr:rowOff>
                  </to>
                </anchor>
              </controlPr>
            </control>
          </mc:Choice>
        </mc:AlternateContent>
        <mc:AlternateContent xmlns:mc="http://schemas.openxmlformats.org/markup-compatibility/2006">
          <mc:Choice Requires="x14">
            <control shapeId="10262" r:id="rId22" name="Check Box 22">
              <controlPr defaultSize="0" autoFill="0" autoLine="0" autoPict="0">
                <anchor moveWithCells="1">
                  <from>
                    <xdr:col>5</xdr:col>
                    <xdr:colOff>1320800</xdr:colOff>
                    <xdr:row>31</xdr:row>
                    <xdr:rowOff>177800</xdr:rowOff>
                  </from>
                  <to>
                    <xdr:col>5</xdr:col>
                    <xdr:colOff>1701800</xdr:colOff>
                    <xdr:row>33</xdr:row>
                    <xdr:rowOff>31750</xdr:rowOff>
                  </to>
                </anchor>
              </controlPr>
            </control>
          </mc:Choice>
        </mc:AlternateContent>
        <mc:AlternateContent xmlns:mc="http://schemas.openxmlformats.org/markup-compatibility/2006">
          <mc:Choice Requires="x14">
            <control shapeId="10267" r:id="rId23" name="Check Box 27">
              <controlPr defaultSize="0" autoFill="0" autoLine="0" autoPict="0">
                <anchor moveWithCells="1">
                  <from>
                    <xdr:col>5</xdr:col>
                    <xdr:colOff>0</xdr:colOff>
                    <xdr:row>15</xdr:row>
                    <xdr:rowOff>139700</xdr:rowOff>
                  </from>
                  <to>
                    <xdr:col>5</xdr:col>
                    <xdr:colOff>755650</xdr:colOff>
                    <xdr:row>17</xdr:row>
                    <xdr:rowOff>31750</xdr:rowOff>
                  </to>
                </anchor>
              </controlPr>
            </control>
          </mc:Choice>
        </mc:AlternateContent>
        <mc:AlternateContent xmlns:mc="http://schemas.openxmlformats.org/markup-compatibility/2006">
          <mc:Choice Requires="x14">
            <control shapeId="10268" r:id="rId24" name="Check Box 28">
              <controlPr defaultSize="0" autoFill="0" autoLine="0" autoPict="0">
                <anchor moveWithCells="1">
                  <from>
                    <xdr:col>5</xdr:col>
                    <xdr:colOff>876300</xdr:colOff>
                    <xdr:row>15</xdr:row>
                    <xdr:rowOff>139700</xdr:rowOff>
                  </from>
                  <to>
                    <xdr:col>5</xdr:col>
                    <xdr:colOff>1473200</xdr:colOff>
                    <xdr:row>17</xdr:row>
                    <xdr:rowOff>31750</xdr:rowOff>
                  </to>
                </anchor>
              </controlPr>
            </control>
          </mc:Choice>
        </mc:AlternateContent>
        <mc:AlternateContent xmlns:mc="http://schemas.openxmlformats.org/markup-compatibility/2006">
          <mc:Choice Requires="x14">
            <control shapeId="10269" r:id="rId25" name="Check Box 29">
              <controlPr defaultSize="0" autoFill="0" autoLine="0" autoPict="0">
                <anchor moveWithCells="1">
                  <from>
                    <xdr:col>5</xdr:col>
                    <xdr:colOff>1435100</xdr:colOff>
                    <xdr:row>15</xdr:row>
                    <xdr:rowOff>139700</xdr:rowOff>
                  </from>
                  <to>
                    <xdr:col>6</xdr:col>
                    <xdr:colOff>38100</xdr:colOff>
                    <xdr:row>17</xdr:row>
                    <xdr:rowOff>31750</xdr:rowOff>
                  </to>
                </anchor>
              </controlPr>
            </control>
          </mc:Choice>
        </mc:AlternateContent>
        <mc:AlternateContent xmlns:mc="http://schemas.openxmlformats.org/markup-compatibility/2006">
          <mc:Choice Requires="x14">
            <control shapeId="10270" r:id="rId26" name="Check Box 30">
              <controlPr defaultSize="0" autoFill="0" autoLine="0" autoPict="0">
                <anchor moveWithCells="1">
                  <from>
                    <xdr:col>6</xdr:col>
                    <xdr:colOff>31750</xdr:colOff>
                    <xdr:row>15</xdr:row>
                    <xdr:rowOff>139700</xdr:rowOff>
                  </from>
                  <to>
                    <xdr:col>6</xdr:col>
                    <xdr:colOff>615950</xdr:colOff>
                    <xdr:row>17</xdr:row>
                    <xdr:rowOff>31750</xdr:rowOff>
                  </to>
                </anchor>
              </controlPr>
            </control>
          </mc:Choice>
        </mc:AlternateContent>
        <mc:AlternateContent xmlns:mc="http://schemas.openxmlformats.org/markup-compatibility/2006">
          <mc:Choice Requires="x14">
            <control shapeId="10271" r:id="rId27" name="Check Box 31">
              <controlPr defaultSize="0" autoFill="0" autoLine="0" autoPict="0">
                <anchor moveWithCells="1">
                  <from>
                    <xdr:col>5</xdr:col>
                    <xdr:colOff>876300</xdr:colOff>
                    <xdr:row>17</xdr:row>
                    <xdr:rowOff>6350</xdr:rowOff>
                  </from>
                  <to>
                    <xdr:col>5</xdr:col>
                    <xdr:colOff>1473200</xdr:colOff>
                    <xdr:row>18</xdr:row>
                    <xdr:rowOff>69850</xdr:rowOff>
                  </to>
                </anchor>
              </controlPr>
            </control>
          </mc:Choice>
        </mc:AlternateContent>
        <mc:AlternateContent xmlns:mc="http://schemas.openxmlformats.org/markup-compatibility/2006">
          <mc:Choice Requires="x14">
            <control shapeId="10272" r:id="rId28" name="Check Box 32">
              <controlPr defaultSize="0" autoFill="0" autoLine="0" autoPict="0">
                <anchor moveWithCells="1">
                  <from>
                    <xdr:col>5</xdr:col>
                    <xdr:colOff>1562100</xdr:colOff>
                    <xdr:row>17</xdr:row>
                    <xdr:rowOff>6350</xdr:rowOff>
                  </from>
                  <to>
                    <xdr:col>6</xdr:col>
                    <xdr:colOff>158750</xdr:colOff>
                    <xdr:row>18</xdr:row>
                    <xdr:rowOff>69850</xdr:rowOff>
                  </to>
                </anchor>
              </controlPr>
            </control>
          </mc:Choice>
        </mc:AlternateContent>
        <mc:AlternateContent xmlns:mc="http://schemas.openxmlformats.org/markup-compatibility/2006">
          <mc:Choice Requires="x14">
            <control shapeId="10275" r:id="rId29" name="Check Box 35">
              <controlPr defaultSize="0" autoFill="0" autoLine="0" autoPict="0">
                <anchor moveWithCells="1">
                  <from>
                    <xdr:col>5</xdr:col>
                    <xdr:colOff>6350</xdr:colOff>
                    <xdr:row>17</xdr:row>
                    <xdr:rowOff>6350</xdr:rowOff>
                  </from>
                  <to>
                    <xdr:col>5</xdr:col>
                    <xdr:colOff>908050</xdr:colOff>
                    <xdr:row>18</xdr:row>
                    <xdr:rowOff>69850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75CBE81EA78D44A9CB23D7FA5B43CAB" ma:contentTypeVersion="10" ma:contentTypeDescription="Create a new document." ma:contentTypeScope="" ma:versionID="c1e903197a2052914d5c7d90bbec0d02">
  <xsd:schema xmlns:xsd="http://www.w3.org/2001/XMLSchema" xmlns:xs="http://www.w3.org/2001/XMLSchema" xmlns:p="http://schemas.microsoft.com/office/2006/metadata/properties" xmlns:ns2="b08a7fe2-d4ba-4019-b3bc-cfd67059b264" targetNamespace="http://schemas.microsoft.com/office/2006/metadata/properties" ma:root="true" ma:fieldsID="428a8d2b1082c813ef1f7b5e55d6afc7" ns2:_="">
    <xsd:import namespace="b08a7fe2-d4ba-4019-b3bc-cfd67059b26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8a7fe2-d4ba-4019-b3bc-cfd67059b2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500E7BD-5383-4BD5-BE85-B9DC8F1CB85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8a7fe2-d4ba-4019-b3bc-cfd67059b2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712CFB0-F8B0-4D3B-97B8-94CAA806CD81}">
  <ds:schemaRefs>
    <ds:schemaRef ds:uri="http://purl.org/dc/elements/1.1/"/>
    <ds:schemaRef ds:uri="http://schemas.microsoft.com/office/2006/metadata/properties"/>
    <ds:schemaRef ds:uri="b08a7fe2-d4ba-4019-b3bc-cfd67059b264"/>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C85BC1E5-4768-496F-B334-D26EF1AB862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248</vt:i4>
      </vt:variant>
    </vt:vector>
  </HeadingPairs>
  <TitlesOfParts>
    <vt:vector size="264" baseType="lpstr">
      <vt:lpstr>Introduction</vt:lpstr>
      <vt:lpstr>01 Integration</vt:lpstr>
      <vt:lpstr>02 Community</vt:lpstr>
      <vt:lpstr>03 Ecosystems</vt:lpstr>
      <vt:lpstr>04 Water</vt:lpstr>
      <vt:lpstr>05 Economy</vt:lpstr>
      <vt:lpstr>06 Energy</vt:lpstr>
      <vt:lpstr>07 Well-Being</vt:lpstr>
      <vt:lpstr>08 Resources</vt:lpstr>
      <vt:lpstr>09 Change</vt:lpstr>
      <vt:lpstr>10 Discovery</vt:lpstr>
      <vt:lpstr>AIA COTE Top 10 Award Summary</vt:lpstr>
      <vt:lpstr>Results</vt:lpstr>
      <vt:lpstr>Reference Tables</vt:lpstr>
      <vt:lpstr>Program Calcs</vt:lpstr>
      <vt:lpstr>Change Log</vt:lpstr>
      <vt:lpstr>Annual_Days_of_Operation</vt:lpstr>
      <vt:lpstr>Area_Additional_On_Site_Hardscape_Post_Development</vt:lpstr>
      <vt:lpstr>Area_Additional_On_Site_Hardscape_Pre_Development</vt:lpstr>
      <vt:lpstr>Area_Building</vt:lpstr>
      <vt:lpstr>Area_Building_Footprint_Post_Development</vt:lpstr>
      <vt:lpstr>Area_Building_Footprint_Pre_Development</vt:lpstr>
      <vt:lpstr>Area_Conditioned</vt:lpstr>
      <vt:lpstr>Area_Green_Roof_Post_Development</vt:lpstr>
      <vt:lpstr>Area_Green_Roof_Pre_Development</vt:lpstr>
      <vt:lpstr>Area_Hardscape_Total_Post_Development</vt:lpstr>
      <vt:lpstr>Area_Hardscape_Total_Pre_Development</vt:lpstr>
      <vt:lpstr>Area_Irrigated_Total</vt:lpstr>
      <vt:lpstr>Area_Pervious_Pavement_Post_Development</vt:lpstr>
      <vt:lpstr>Area_Pervious_Pavement_Pre_Development</vt:lpstr>
      <vt:lpstr>Area_Reused</vt:lpstr>
      <vt:lpstr>Area_Site</vt:lpstr>
      <vt:lpstr>Area_Softscape_Total_Post_Development</vt:lpstr>
      <vt:lpstr>Area_Softscape_Total_Pre_Development</vt:lpstr>
      <vt:lpstr>Area_Surface_Parking_Post_Development</vt:lpstr>
      <vt:lpstr>Area_Surface_Parking_Pre_Development</vt:lpstr>
      <vt:lpstr>Area_Unconditioned</vt:lpstr>
      <vt:lpstr>Area_Vegetated_HQ_Post_Development</vt:lpstr>
      <vt:lpstr>Area_Vegetated_HQ_Pre_Development</vt:lpstr>
      <vt:lpstr>Area_Vegetated_LQ_Post_Development</vt:lpstr>
      <vt:lpstr>Area_Vegetated_LQ_Pre_Development</vt:lpstr>
      <vt:lpstr>Area_Vegetated_MQ_Post_Development</vt:lpstr>
      <vt:lpstr>Area_Vegetated_MQ_Pre_Development</vt:lpstr>
      <vt:lpstr>Area_Vegetated_Post_Development</vt:lpstr>
      <vt:lpstr>Area_Vegetated_Pre_Development</vt:lpstr>
      <vt:lpstr>Avg_Daily_Hours_Of_Operation</vt:lpstr>
      <vt:lpstr>Backup_Power_Headers</vt:lpstr>
      <vt:lpstr>Backup_Power_Score</vt:lpstr>
      <vt:lpstr>Backup_Power_Table</vt:lpstr>
      <vt:lpstr>Bike_Score</vt:lpstr>
      <vt:lpstr>Biogenic_Carbon_Included_YN</vt:lpstr>
      <vt:lpstr>Building_Category_Column_Headers</vt:lpstr>
      <vt:lpstr>Building_Category_Row_Headers</vt:lpstr>
      <vt:lpstr>Building_Category_Table</vt:lpstr>
      <vt:lpstr>Building_Design_Lifespan</vt:lpstr>
      <vt:lpstr>Building_Type_Column_Headers</vt:lpstr>
      <vt:lpstr>Building_Type_Headers</vt:lpstr>
      <vt:lpstr>Building_Type_Table</vt:lpstr>
      <vt:lpstr>Car_Fuel_Economy_Average_Benchmark</vt:lpstr>
      <vt:lpstr>Carbon_Net_Measured</vt:lpstr>
      <vt:lpstr>Carbon_Net_Predicted</vt:lpstr>
      <vt:lpstr>Carbon_per_kBtu_Biomass</vt:lpstr>
      <vt:lpstr>Carbon_per_kBtu_District_Heat</vt:lpstr>
      <vt:lpstr>Carbon_per_kBtu_Electricity</vt:lpstr>
      <vt:lpstr>Carbon_per_kBtu_Gas</vt:lpstr>
      <vt:lpstr>Carbon_per_kBtu_Oil</vt:lpstr>
      <vt:lpstr>Carbon_per_mWh_Electricity_eGrid</vt:lpstr>
      <vt:lpstr>Chilled_Water_Options</vt:lpstr>
      <vt:lpstr>City</vt:lpstr>
      <vt:lpstr>Climate_Zone</vt:lpstr>
      <vt:lpstr>CO2_Emitted_per_Gallon_Average_Benchmark</vt:lpstr>
      <vt:lpstr>Commissioning_Score</vt:lpstr>
      <vt:lpstr>Commuting_Days_Average_Benchmark</vt:lpstr>
      <vt:lpstr>Construction_Cost_per_SF_Actual</vt:lpstr>
      <vt:lpstr>Construction_Cost_per_SF_Benchmark</vt:lpstr>
      <vt:lpstr>Construction_Cost_Percent_Reduction</vt:lpstr>
      <vt:lpstr>Construction_Cost_Total</vt:lpstr>
      <vt:lpstr>Conversion_to_kBtu_Options</vt:lpstr>
      <vt:lpstr>Conversion_to_kBtu_Table</vt:lpstr>
      <vt:lpstr>Cooling_Tower_Water_Use</vt:lpstr>
      <vt:lpstr>Cooling_Tower_Water_Use_Total</vt:lpstr>
      <vt:lpstr>Count_Materials_with_Health_Certifications</vt:lpstr>
      <vt:lpstr>Daylight_Area_ASE</vt:lpstr>
      <vt:lpstr>Daylight_Area_sDA</vt:lpstr>
      <vt:lpstr>Efficiency_Ratio_Achieved</vt:lpstr>
      <vt:lpstr>Efficiency_Ratio_Percent_Improvement</vt:lpstr>
      <vt:lpstr>Embodied_Carbon_Intensity_Proposed</vt:lpstr>
      <vt:lpstr>Embodied_Carbon_Total_Proposed</vt:lpstr>
      <vt:lpstr>Energy_Consumption_Annual_Total_Measured</vt:lpstr>
      <vt:lpstr>Energy_Consumption_Annual_Total_Predicted</vt:lpstr>
      <vt:lpstr>Energy_Net_Measured</vt:lpstr>
      <vt:lpstr>Energy_Offsite_Generation_Annual_Total_Measured</vt:lpstr>
      <vt:lpstr>Energy_Offsite_Generation_Annual_Total_Predicted</vt:lpstr>
      <vt:lpstr>Energy_Onsite_Generation_Annual_Total_Measured</vt:lpstr>
      <vt:lpstr>Energy_Onsite_Generation_Annual_Total_Predicted</vt:lpstr>
      <vt:lpstr>Energy_Production_Annual_Total_Measured</vt:lpstr>
      <vt:lpstr>Energy_Production_Annual_Total_Predicted</vt:lpstr>
      <vt:lpstr>Energy_Use_Annual_Net_Total_Measured</vt:lpstr>
      <vt:lpstr>Energy_Use_Annual_Net_Total_Predicted</vt:lpstr>
      <vt:lpstr>Energy_Use_Annual_Total_Benchmark</vt:lpstr>
      <vt:lpstr>EUI_Benchmark</vt:lpstr>
      <vt:lpstr>EUI_Benchmark_Calculated</vt:lpstr>
      <vt:lpstr>EUI_Benchmark_User_Defined</vt:lpstr>
      <vt:lpstr>EUI_Gross_Measured</vt:lpstr>
      <vt:lpstr>EUI_Gross_Predicted</vt:lpstr>
      <vt:lpstr>EUI_Net_Predicted</vt:lpstr>
      <vt:lpstr>Even_passive_occupants_are_presented_with_performance_feedback</vt:lpstr>
      <vt:lpstr>Feedback_Headers</vt:lpstr>
      <vt:lpstr>Feedback_Score</vt:lpstr>
      <vt:lpstr>Feedback_Selected</vt:lpstr>
      <vt:lpstr>Feedback_Table</vt:lpstr>
      <vt:lpstr>Fixture_Usage_Column_Headers</vt:lpstr>
      <vt:lpstr>Fixture_Usage_Headers</vt:lpstr>
      <vt:lpstr>Fixture_Usage_Table</vt:lpstr>
      <vt:lpstr>Fuel_Source_Carbon_Headers</vt:lpstr>
      <vt:lpstr>Fuel_Source_Carbon_Table</vt:lpstr>
      <vt:lpstr>Grid_Electricity_Options</vt:lpstr>
      <vt:lpstr>Hazard_Research_Score</vt:lpstr>
      <vt:lpstr>Indoor_Water_Use_Predicted_Annual_Total</vt:lpstr>
      <vt:lpstr>Indoor_Water_Use_Predicted_Daily_Total</vt:lpstr>
      <vt:lpstr>Irrigation_Baseline_Monthly</vt:lpstr>
      <vt:lpstr>Irrigation_LWA_Annual</vt:lpstr>
      <vt:lpstr>Irrigation_LWA_Monthly</vt:lpstr>
      <vt:lpstr>Irrigation_LWR_Annual</vt:lpstr>
      <vt:lpstr>Irrigation_LWR_Monthly</vt:lpstr>
      <vt:lpstr>Irrigation_Type_Headers</vt:lpstr>
      <vt:lpstr>Irrigation_Type_Table</vt:lpstr>
      <vt:lpstr>kg_per_sm_to_kg_per_sf</vt:lpstr>
      <vt:lpstr>LPD_Benchmark</vt:lpstr>
      <vt:lpstr>LPD_Benchmark_Calculated</vt:lpstr>
      <vt:lpstr>LPD_Benchmark_User_Defined</vt:lpstr>
      <vt:lpstr>LPD_Installed</vt:lpstr>
      <vt:lpstr>LPD_Reduction</vt:lpstr>
      <vt:lpstr>Material_Cost_Recycled</vt:lpstr>
      <vt:lpstr>Materials_Cost_Total</vt:lpstr>
      <vt:lpstr>Maximum_Measured_CO2_PPM</vt:lpstr>
      <vt:lpstr>Maximum_Measured_VOC_PPB</vt:lpstr>
      <vt:lpstr>Occupancy_Daily_Avg</vt:lpstr>
      <vt:lpstr>Occupancy_FTE</vt:lpstr>
      <vt:lpstr>Off_Site_Procurement_Factor_Options</vt:lpstr>
      <vt:lpstr>Off_Site_Procurement_Factor_Table</vt:lpstr>
      <vt:lpstr>One_Way_Commute_Average_Benchmark</vt:lpstr>
      <vt:lpstr>Operational_Carbon_Annual_Total_Benchmark</vt:lpstr>
      <vt:lpstr>Operational_Carbon_Annual_Total_Measured</vt:lpstr>
      <vt:lpstr>Operational_Carbon_Annual_Total_Predicted</vt:lpstr>
      <vt:lpstr>Operational_Carbon_Annual_Total_wRenewables_Measured</vt:lpstr>
      <vt:lpstr>Operational_Carbon_Annual_Total_wRenewables_Predicted</vt:lpstr>
      <vt:lpstr>Operational_Carbon_Intensity_Benchmark</vt:lpstr>
      <vt:lpstr>Operational_Carbon_Intensity_Benchmark_Calculated</vt:lpstr>
      <vt:lpstr>Operational_Carbon_Intensity_Benchmark_User_Defined</vt:lpstr>
      <vt:lpstr>Operational_Carbon_Intensity_Measured</vt:lpstr>
      <vt:lpstr>Operational_Carbon_Intensity_Predicted</vt:lpstr>
      <vt:lpstr>Operational_Carbon_Percent_Reduction_Measured</vt:lpstr>
      <vt:lpstr>Operational_Carbon_Percent_Reduction_Predicted</vt:lpstr>
      <vt:lpstr>Operational_Carbon_Percent_Reduction_wRenewables_Measured</vt:lpstr>
      <vt:lpstr>Operational_Carbon_Percent_Reduction_wRenewables_Predicted</vt:lpstr>
      <vt:lpstr>Passive_Functionality_Headers</vt:lpstr>
      <vt:lpstr>Passive_Functionality_Score</vt:lpstr>
      <vt:lpstr>Passive_Functionality_Table</vt:lpstr>
      <vt:lpstr>Percent_Building_Area_Reused</vt:lpstr>
      <vt:lpstr>Percent_Building_Cooled_By_Chiller</vt:lpstr>
      <vt:lpstr>Percent_Construction_Waste_Diverted</vt:lpstr>
      <vt:lpstr>Percent_Demand_from_Rainwater_Measured</vt:lpstr>
      <vt:lpstr>Percent_Demand_from_Rainwater_Predicted</vt:lpstr>
      <vt:lpstr>Percent_Demand_from_Reclaimed_Measured</vt:lpstr>
      <vt:lpstr>Percent_Demand_from_Reclaimed_Predicted</vt:lpstr>
      <vt:lpstr>Percent_Material_Cost_Biobased</vt:lpstr>
      <vt:lpstr>Percent_Material_Cost_Recycled</vt:lpstr>
      <vt:lpstr>Percent_Material_Cost_Regional</vt:lpstr>
      <vt:lpstr>Percent_Material_Cost_Reused</vt:lpstr>
      <vt:lpstr>Percent_Potable_Water_Reduction_Measured</vt:lpstr>
      <vt:lpstr>Percent_Potable_Water_Reduction_Predicted</vt:lpstr>
      <vt:lpstr>Percent_Reduction_Energy_Measured</vt:lpstr>
      <vt:lpstr>Percent_Reduction_Energy_Predicted</vt:lpstr>
      <vt:lpstr>Percent_Reduction_Energy_wRenewables_Measured</vt:lpstr>
      <vt:lpstr>Percent_Reduction_Energy_wRenewables_Predicted</vt:lpstr>
      <vt:lpstr>Percent_Reduction_Transportation_Carbon</vt:lpstr>
      <vt:lpstr>Percent_Regularly_Occupied_Space_ASE_Compliant</vt:lpstr>
      <vt:lpstr>Percent_Regularly_Occupied_Space_sDA_Compliant</vt:lpstr>
      <vt:lpstr>Percent_Regularly_Occupied_Space_with_Quality_Views</vt:lpstr>
      <vt:lpstr>Percent_Stormwater_Managed_Onsite</vt:lpstr>
      <vt:lpstr>Percent_Total_Energy_from_Off_Site_Measured</vt:lpstr>
      <vt:lpstr>Percent_Total_Energy_from_Off_Site_Predicted</vt:lpstr>
      <vt:lpstr>Percent_Total_Energy_from_On_Site_Measured</vt:lpstr>
      <vt:lpstr>Percent_Total_Energy_from_On_Site_Predicted</vt:lpstr>
      <vt:lpstr>Percent_Vegetated_Increase</vt:lpstr>
      <vt:lpstr>Percent_Vegetated_Post_Development</vt:lpstr>
      <vt:lpstr>Percent_Vegetated_Pre_Development</vt:lpstr>
      <vt:lpstr>Percent_Wood_FSC</vt:lpstr>
      <vt:lpstr>Plant_Type_Table</vt:lpstr>
      <vt:lpstr>Plant_Type_Table_Columns</vt:lpstr>
      <vt:lpstr>Plant_Type_Table_Headers</vt:lpstr>
      <vt:lpstr>Post_Occupancy_Evaluation_Score</vt:lpstr>
      <vt:lpstr>'AIA COTE Top 10 Award Summary'!Print_Area</vt:lpstr>
      <vt:lpstr>'AIA COTE Top 10 Award Summary'!Print_Titles</vt:lpstr>
      <vt:lpstr>Program_Breakdown_Table</vt:lpstr>
      <vt:lpstr>Project_Address</vt:lpstr>
      <vt:lpstr>Project_Name</vt:lpstr>
      <vt:lpstr>Rainfall_Average</vt:lpstr>
      <vt:lpstr>Rainwater_Storage_Volume</vt:lpstr>
      <vt:lpstr>Region</vt:lpstr>
      <vt:lpstr>Region_Energy_Use_Headers</vt:lpstr>
      <vt:lpstr>Region_Energy_Use_Table</vt:lpstr>
      <vt:lpstr>Regularly_Occupied_Space</vt:lpstr>
      <vt:lpstr>Residential_Energy_Use_Total_Benchmark</vt:lpstr>
      <vt:lpstr>Residential_EUI_Benchmark</vt:lpstr>
      <vt:lpstr>Resiliency_Score</vt:lpstr>
      <vt:lpstr>Runoff_Quality_Score</vt:lpstr>
      <vt:lpstr>Runoff_Type_Headers</vt:lpstr>
      <vt:lpstr>Runoff_Type_Table</vt:lpstr>
      <vt:lpstr>Single_Occupancy_Commute_Share_Benchmark</vt:lpstr>
      <vt:lpstr>Site_Environment</vt:lpstr>
      <vt:lpstr>State</vt:lpstr>
      <vt:lpstr>State_Region_Headers</vt:lpstr>
      <vt:lpstr>State_Region_Table</vt:lpstr>
      <vt:lpstr>Storm_Event_Feet</vt:lpstr>
      <vt:lpstr>Stormwater_Event_Total</vt:lpstr>
      <vt:lpstr>Stormwater_Runoff_Net_Total</vt:lpstr>
      <vt:lpstr>Stormwater_Runoff_Total</vt:lpstr>
      <vt:lpstr>Structural_System_Headers</vt:lpstr>
      <vt:lpstr>Summer_Evapotranspiration_Rate</vt:lpstr>
      <vt:lpstr>Total_Carbon_10YR</vt:lpstr>
      <vt:lpstr>Total_Cost_of_Electricity_On_Site_Renewable_Measured</vt:lpstr>
      <vt:lpstr>Transit_Score</vt:lpstr>
      <vt:lpstr>Transparency_Score</vt:lpstr>
      <vt:lpstr>Transport_CO2_Annual_Total_Benchmark</vt:lpstr>
      <vt:lpstr>Transport_CO2_Annual_Total_Proposed</vt:lpstr>
      <vt:lpstr>Transport_CO2_per_Occupant_Year_Benchmark</vt:lpstr>
      <vt:lpstr>Transport_CO2_per_Occupant_Year_Proposed</vt:lpstr>
      <vt:lpstr>Unit_Cost_of_Biomass_Measured</vt:lpstr>
      <vt:lpstr>Unit_Cost_of_CW_Measured</vt:lpstr>
      <vt:lpstr>Unit_Cost_of_Electricity_Measured</vt:lpstr>
      <vt:lpstr>Unit_Cost_of_Electricity_On_Site_Renewable_Measured</vt:lpstr>
      <vt:lpstr>Unit_Cost_of_Natl_Gas_Measured</vt:lpstr>
      <vt:lpstr>Unit_Cost_of_Steam_Measured</vt:lpstr>
      <vt:lpstr>Vegetation_Score_Post_Developement</vt:lpstr>
      <vt:lpstr>Vegetation_Score_Pre_Developement</vt:lpstr>
      <vt:lpstr>View_Area</vt:lpstr>
      <vt:lpstr>Walk_Score</vt:lpstr>
      <vt:lpstr>Water_Demand_Annual_Total_Measured</vt:lpstr>
      <vt:lpstr>Water_Demand_Annual_Total_Predicted</vt:lpstr>
      <vt:lpstr>Water_Minutes_per_Occupant_Day_Kitchen_Faucet</vt:lpstr>
      <vt:lpstr>Water_Minutes_per_Occupant_Day_Lavatory</vt:lpstr>
      <vt:lpstr>Water_Minutes_per_Occupant_Day_Shower</vt:lpstr>
      <vt:lpstr>Water_Potable_Annual_per_Occupant_Measured</vt:lpstr>
      <vt:lpstr>Water_Potable_Annual_per_Occupant_Predicted</vt:lpstr>
      <vt:lpstr>Water_Potable_Annual_Total_Measured</vt:lpstr>
      <vt:lpstr>Water_Potable_Annual_Total_Predicted</vt:lpstr>
      <vt:lpstr>Water_Potable_Used_for_Irrigation_YN</vt:lpstr>
      <vt:lpstr>Water_Rain_Annual_Total_Measured</vt:lpstr>
      <vt:lpstr>Water_Rain_Annual_Total_Predicted</vt:lpstr>
      <vt:lpstr>Water_Reclaimed_Annual_Total_Measured</vt:lpstr>
      <vt:lpstr>Water_Reclaimed_Annual_Total_Predicted</vt:lpstr>
      <vt:lpstr>Water_Use_Intensity_Benchmark</vt:lpstr>
      <vt:lpstr>Water_Use_Intensity_Benchmark_Calculated</vt:lpstr>
      <vt:lpstr>Water_Use_Intensity_Benchmark_User_Defined</vt:lpstr>
      <vt:lpstr>Water_Use_Intensity_Measured</vt:lpstr>
      <vt:lpstr>Water_Use_Intensity_Predicted</vt:lpstr>
      <vt:lpstr>Water_Use_Per_Occupant_Benchmark</vt:lpstr>
      <vt:lpstr>Water_Use_Total_Benchmark</vt:lpstr>
      <vt:lpstr>Water_Uses_per_Occupant_Day_Toilet</vt:lpstr>
      <vt:lpstr>Water_Uses_per_Occupant_Day_Urinal</vt:lpstr>
      <vt:lpstr>WWR_Aggregate</vt:lpstr>
      <vt:lpstr>Zip_Code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Helena Zambrano;Corey Squire;Janki Vyas</dc:creator>
  <cp:keywords/>
  <dc:description/>
  <cp:lastModifiedBy>Teresa VanEpps</cp:lastModifiedBy>
  <cp:revision/>
  <cp:lastPrinted>2023-07-27T15:03:52Z</cp:lastPrinted>
  <dcterms:created xsi:type="dcterms:W3CDTF">2018-07-31T13:39:46Z</dcterms:created>
  <dcterms:modified xsi:type="dcterms:W3CDTF">2024-03-18T18:40:30Z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0x010100775CBE81EA78D44A9CB23D7FA5B43CAB</vt:lpwstr>
  </property>
</Properties>
</file>